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defaultThemeVersion="124226"/>
  <bookViews>
    <workbookView xWindow="0" yWindow="0" windowWidth="22530" windowHeight="10305" tabRatio="972" activeTab="18"/>
  </bookViews>
  <sheets>
    <sheet name="Catalog" sheetId="15" r:id="rId1"/>
    <sheet name="10.1.1Α" sheetId="23" r:id="rId2"/>
    <sheet name="10.1.1Β" sheetId="2" r:id="rId3"/>
    <sheet name="10.1.1Γ" sheetId="4" r:id="rId4"/>
    <sheet name="10.1.1Δ" sheetId="48" r:id="rId5"/>
    <sheet name="10.1.1E" sheetId="6" r:id="rId6"/>
    <sheet name="10.1.2Α" sheetId="8" r:id="rId7"/>
    <sheet name="10.1.2Β.1" sheetId="49" r:id="rId8"/>
    <sheet name="10.1.2Β.2" sheetId="10" r:id="rId9"/>
    <sheet name="10.1.3A" sheetId="50" r:id="rId10"/>
    <sheet name="10.1.3B" sheetId="51" r:id="rId11"/>
    <sheet name="10.1.4" sheetId="33" r:id="rId12"/>
    <sheet name="10.1.5" sheetId="32" r:id="rId13"/>
    <sheet name="10.1.6" sheetId="30" r:id="rId14"/>
    <sheet name="10.1.7" sheetId="31" r:id="rId15"/>
    <sheet name="10.1.8" sheetId="13" r:id="rId16"/>
    <sheet name="10.1.9" sheetId="14" r:id="rId17"/>
    <sheet name="10.1.10" sheetId="53" r:id="rId18"/>
    <sheet name="10.1.11" sheetId="60" r:id="rId19"/>
    <sheet name="10.1.12" sheetId="61" r:id="rId20"/>
    <sheet name="10.1.13" sheetId="62" r:id="rId21"/>
    <sheet name="11.1" sheetId="59" r:id="rId22"/>
    <sheet name="11.2" sheetId="58" r:id="rId23"/>
    <sheet name="12.1.1" sheetId="57" r:id="rId24"/>
    <sheet name="12.1.2" sheetId="40" r:id="rId25"/>
  </sheets>
  <definedNames>
    <definedName name="_11.2">Catalog!$A$24</definedName>
    <definedName name="_xlnm._FilterDatabase" localSheetId="15" hidden="1">'10.1.8'!#REF!</definedName>
    <definedName name="_xlnm.Print_Area" localSheetId="18">'10.1.11'!$A$1:$G$83</definedName>
  </definedNames>
  <calcPr calcId="125725"/>
</workbook>
</file>

<file path=xl/calcChain.xml><?xml version="1.0" encoding="utf-8"?>
<calcChain xmlns="http://schemas.openxmlformats.org/spreadsheetml/2006/main">
  <c r="D6" i="61"/>
  <c r="C6"/>
  <c r="C8" i="62" l="1"/>
  <c r="C7"/>
  <c r="C67" i="60" l="1"/>
  <c r="C68" s="1"/>
  <c r="C60"/>
  <c r="C59"/>
  <c r="C54"/>
  <c r="C55" s="1"/>
  <c r="C49"/>
  <c r="C48"/>
  <c r="C47"/>
  <c r="C40"/>
  <c r="C39"/>
  <c r="C34"/>
  <c r="C28"/>
  <c r="C27"/>
  <c r="C26"/>
  <c r="C13"/>
  <c r="C15" s="1"/>
  <c r="C8"/>
  <c r="C9" s="1"/>
  <c r="C10" s="1"/>
  <c r="C50" l="1"/>
  <c r="C41"/>
  <c r="C61"/>
  <c r="C56"/>
  <c r="C16"/>
  <c r="C29"/>
  <c r="C35" s="1"/>
  <c r="C13" i="2"/>
  <c r="C7"/>
  <c r="C6"/>
  <c r="C5"/>
  <c r="C8" s="1"/>
  <c r="C14" s="1"/>
  <c r="C7" i="53" l="1"/>
  <c r="C4"/>
  <c r="C8"/>
  <c r="C3" l="1"/>
  <c r="C9" s="1"/>
  <c r="C6"/>
  <c r="B155" i="59" l="1"/>
  <c r="B156" s="1"/>
  <c r="I150"/>
  <c r="E150"/>
  <c r="I149"/>
  <c r="E149"/>
  <c r="I148"/>
  <c r="E148"/>
  <c r="I147"/>
  <c r="E147"/>
  <c r="B140"/>
  <c r="B141" s="1"/>
  <c r="I135"/>
  <c r="E135"/>
  <c r="I134"/>
  <c r="E134"/>
  <c r="I133"/>
  <c r="E133"/>
  <c r="I132"/>
  <c r="E132"/>
  <c r="D123"/>
  <c r="E123" s="1"/>
  <c r="D122"/>
  <c r="E122" s="1"/>
  <c r="C113"/>
  <c r="D110"/>
  <c r="C110"/>
  <c r="I103"/>
  <c r="E103"/>
  <c r="H101"/>
  <c r="G101"/>
  <c r="F101"/>
  <c r="D101"/>
  <c r="C101"/>
  <c r="B101"/>
  <c r="C94"/>
  <c r="D91"/>
  <c r="C91"/>
  <c r="B87"/>
  <c r="G83"/>
  <c r="B84" s="1"/>
  <c r="E81"/>
  <c r="D81"/>
  <c r="B81"/>
  <c r="C72"/>
  <c r="C70"/>
  <c r="C63"/>
  <c r="C61"/>
  <c r="C54"/>
  <c r="C52"/>
  <c r="C45"/>
  <c r="D42"/>
  <c r="C42"/>
  <c r="C36"/>
  <c r="D33"/>
  <c r="C33"/>
  <c r="F23"/>
  <c r="F20"/>
  <c r="F19"/>
  <c r="F17"/>
  <c r="F16"/>
  <c r="F15"/>
  <c r="F14"/>
  <c r="F13"/>
  <c r="F12"/>
  <c r="B156" i="58"/>
  <c r="B157" s="1"/>
  <c r="I151"/>
  <c r="E151"/>
  <c r="I150"/>
  <c r="E150"/>
  <c r="I149"/>
  <c r="E149"/>
  <c r="I148"/>
  <c r="E148"/>
  <c r="B141"/>
  <c r="B142" s="1"/>
  <c r="I136"/>
  <c r="E136"/>
  <c r="I135"/>
  <c r="E135"/>
  <c r="I134"/>
  <c r="E134"/>
  <c r="I133"/>
  <c r="E133"/>
  <c r="D123"/>
  <c r="E123" s="1"/>
  <c r="D122"/>
  <c r="E122" s="1"/>
  <c r="C117"/>
  <c r="D114"/>
  <c r="C114"/>
  <c r="I107"/>
  <c r="E107"/>
  <c r="H105"/>
  <c r="G105"/>
  <c r="F105"/>
  <c r="D105"/>
  <c r="C105"/>
  <c r="B105"/>
  <c r="C98"/>
  <c r="C96"/>
  <c r="G85"/>
  <c r="B86" s="1"/>
  <c r="E83"/>
  <c r="D83"/>
  <c r="G83" s="1"/>
  <c r="B83"/>
  <c r="C74"/>
  <c r="C72"/>
  <c r="C65"/>
  <c r="C63"/>
  <c r="C55"/>
  <c r="C53"/>
  <c r="C46"/>
  <c r="C44"/>
  <c r="C37"/>
  <c r="C35"/>
  <c r="F24"/>
  <c r="F21"/>
  <c r="F20"/>
  <c r="F18"/>
  <c r="F17"/>
  <c r="F16"/>
  <c r="F15"/>
  <c r="F14"/>
  <c r="F13"/>
  <c r="C34" i="59" l="1"/>
  <c r="G81"/>
  <c r="F136"/>
  <c r="B151"/>
  <c r="C115" i="58"/>
  <c r="B84"/>
  <c r="E105"/>
  <c r="B108"/>
  <c r="B137"/>
  <c r="F152"/>
  <c r="I105"/>
  <c r="B106" s="1"/>
  <c r="F137"/>
  <c r="B152"/>
  <c r="F151" i="59"/>
  <c r="E101"/>
  <c r="C92"/>
  <c r="B104"/>
  <c r="C43"/>
  <c r="C111"/>
  <c r="B82"/>
  <c r="I101"/>
  <c r="B136"/>
  <c r="B137" s="1"/>
  <c r="B138" s="1"/>
  <c r="B4" i="31"/>
  <c r="E4" s="1"/>
  <c r="C13" i="30"/>
  <c r="C5"/>
  <c r="C14" s="1"/>
  <c r="B152" i="59" l="1"/>
  <c r="B153" s="1"/>
  <c r="B153" i="58"/>
  <c r="B154" s="1"/>
  <c r="B138"/>
  <c r="B139" s="1"/>
  <c r="B102" i="59"/>
  <c r="C14" i="14"/>
  <c r="B14"/>
  <c r="C6" i="48" l="1"/>
  <c r="C5"/>
  <c r="C7" i="32" l="1"/>
  <c r="B7" i="10"/>
  <c r="B11" s="1"/>
  <c r="B13" s="1"/>
  <c r="C11" i="48"/>
  <c r="C12" s="1"/>
  <c r="C17"/>
  <c r="C16"/>
  <c r="C19" i="4"/>
  <c r="C18"/>
  <c r="C19" i="2"/>
  <c r="C18"/>
  <c r="C20" i="23"/>
  <c r="C19"/>
  <c r="C4" i="48"/>
  <c r="C7" s="1"/>
  <c r="C20" i="4" l="1"/>
  <c r="C20" i="2"/>
  <c r="C18" i="48"/>
  <c r="C13"/>
  <c r="C21" i="6" l="1"/>
  <c r="C19" i="8" l="1"/>
  <c r="C8"/>
  <c r="C9" s="1"/>
  <c r="C5" i="33"/>
  <c r="C6"/>
  <c r="C22" i="32"/>
  <c r="C14"/>
  <c r="C7" i="33" l="1"/>
  <c r="C8" i="6"/>
  <c r="B10" i="14" l="1"/>
  <c r="B15" s="1"/>
  <c r="C12" i="6" l="1"/>
  <c r="C5" i="4"/>
  <c r="C21" i="23" l="1"/>
  <c r="C13" l="1"/>
  <c r="C12"/>
  <c r="C8"/>
  <c r="C7"/>
  <c r="C6"/>
  <c r="C5"/>
  <c r="C14" l="1"/>
  <c r="C9"/>
  <c r="C15" l="1"/>
  <c r="C10" i="14" l="1"/>
  <c r="C15" s="1"/>
  <c r="B16" s="1"/>
  <c r="B5" i="13"/>
  <c r="D5" s="1"/>
  <c r="D4"/>
  <c r="D6" l="1"/>
  <c r="C12" i="4"/>
  <c r="C11"/>
  <c r="C13" s="1"/>
  <c r="C7"/>
  <c r="C6"/>
  <c r="C8" l="1"/>
  <c r="C14" s="1"/>
</calcChain>
</file>

<file path=xl/sharedStrings.xml><?xml version="1.0" encoding="utf-8"?>
<sst xmlns="http://schemas.openxmlformats.org/spreadsheetml/2006/main" count="1044" uniqueCount="517">
  <si>
    <t>10.1.1Α: Αποκλεισμός της χρήσης Χημικών Ζιζανιοκτόνων στην Καλλιέργεια των Φυλλοβόλων Δένδρων</t>
  </si>
  <si>
    <t>A/A</t>
  </si>
  <si>
    <t>Περιγραφή Δαπάνης</t>
  </si>
  <si>
    <t>A</t>
  </si>
  <si>
    <t>Μηχανική Αντιμετώπιση Ζιζανίων</t>
  </si>
  <si>
    <t>i</t>
  </si>
  <si>
    <t>ii</t>
  </si>
  <si>
    <t>iii</t>
  </si>
  <si>
    <t>iv</t>
  </si>
  <si>
    <r>
      <t>Επιβάρυνση (</t>
    </r>
    <r>
      <rPr>
        <b/>
        <sz val="11"/>
        <color theme="1"/>
        <rFont val="Calibri"/>
        <family val="2"/>
      </rPr>
      <t>€/ha)</t>
    </r>
  </si>
  <si>
    <t>Σύνολο (i + ii + iii)</t>
  </si>
  <si>
    <t>B</t>
  </si>
  <si>
    <t>Χημική Ζιζανιοκτονία</t>
  </si>
  <si>
    <t xml:space="preserve">Κόστος αγοράς ζιζανιοκτόνων
</t>
  </si>
  <si>
    <t>A-B</t>
  </si>
  <si>
    <t>Ύψος της Ενίσχυσης για σκοπούς του μέτρου</t>
  </si>
  <si>
    <t>Χορτοκοπτικό μηχάνημα με μισίνα 3hp:</t>
  </si>
  <si>
    <t>Κατανάλωση μισίνας: 0,50 €/h</t>
  </si>
  <si>
    <t>Σύνολο: 0,74 €/h</t>
  </si>
  <si>
    <t>*</t>
  </si>
  <si>
    <t>10.1.1Β: Αποκλεισμός της χρήσης Χημικών Ζιζανιοκτόνων στην Καλλιέργεια της Ελιάς</t>
  </si>
  <si>
    <t>Κόστος μηχανικής εργασίας για εφαρμογή των ζιζανιοκτόνων (μηχανοκίνητος ψεκαστήρας 0,5 hours/ha × 4 φορές = 2 hours/ha, και ψεκαστήρας πλάτης 17 hours/ha, 7% του συνόλου δαπανών μηχανικής εργασίας)</t>
  </si>
  <si>
    <t>Κόστος μηχανικής εργασίας για εφαρμογή των ζιζανιοκτόνων (ψεκαστήρας πλάτης 24 hours × 0,115 €/hour)</t>
  </si>
  <si>
    <t>10.1.1Γ: Αποκλεισμός της χρήσης Χημικών Ζιζανιοκτόνων στην Καλλιέργεια των Εσπεριδοειδών</t>
  </si>
  <si>
    <t>10.1.1Δ: Αποκλεισμός της χρήσης Χημικών Ζιζανιοκτόνων στην Καλλιέργεια του Παραδοσιακού Τοπίου</t>
  </si>
  <si>
    <t>Κόστος μηχανικής εργασίας για εφαρμογή  των ζιζανιοκτόνων</t>
  </si>
  <si>
    <t>10.1.1E: Αποκλεισμός της χρήσης Χημικών Ζιζανιοκτόνων στην Καλλιέργεια της Αμπέλου</t>
  </si>
  <si>
    <t>Μηχανική Καταπολέμηση Ζιζανίων στην καλλιέργεια αμπέλου</t>
  </si>
  <si>
    <t>Αριθμός καλλιεργειών / έτος</t>
  </si>
  <si>
    <t>2 καλλιέργειες</t>
  </si>
  <si>
    <t>Καλλιέργεια εδάφους / εκτάριο</t>
  </si>
  <si>
    <t>Κόστος Υποχρέωσης</t>
  </si>
  <si>
    <t>Σκάλισμα / εκτάριο</t>
  </si>
  <si>
    <t>Σύνολο Α</t>
  </si>
  <si>
    <t>Ζιζανιοκτονία 1η επέμβαση / εκτάριο</t>
  </si>
  <si>
    <t>Ζιζανιοκτονία 2η επέμβαση / εκτάριο</t>
  </si>
  <si>
    <t>Β</t>
  </si>
  <si>
    <t>Σύνολο Β</t>
  </si>
  <si>
    <t>Σύνολο Α - Β</t>
  </si>
  <si>
    <t>2 × € 415 = € 830</t>
  </si>
  <si>
    <t>1 × € 500 = € 500</t>
  </si>
  <si>
    <t>600 €/ha</t>
  </si>
  <si>
    <t>10.1.1E: Πυροπροστατευτικοί χειρισμοί στην Καλλιέργεια της Αμπέλου</t>
  </si>
  <si>
    <t>Πυροπροστατευτικοί χειρισμοί στην Καλλιέργεια της Αμπέλου</t>
  </si>
  <si>
    <t>α. Προκλάδεμα περιφέρειας αμπελώνα</t>
  </si>
  <si>
    <t>β. Καλλιέργεια περιμετρικά</t>
  </si>
  <si>
    <t>10.1.2Α: Εφαρμογή Κύκλου Τριετούς Αμειψισποράς στην Καλλιέργεια της Πατάτας</t>
  </si>
  <si>
    <t>Α. Υπολογισμός Ακαθάριστου κέρδους που προκύπτει από την εφαρμογή του διετούς συστήματος αμειψισποράς (πατάτα – άλλη καλλιέργεια εκτός από σολανώδη) που αποτελεί συνήθη πρακτική</t>
  </si>
  <si>
    <t>Έτος</t>
  </si>
  <si>
    <t>Καλλιέργεια</t>
  </si>
  <si>
    <r>
      <t>1</t>
    </r>
    <r>
      <rPr>
        <vertAlign val="superscript"/>
        <sz val="11"/>
        <color theme="1"/>
        <rFont val="Calibri"/>
        <family val="2"/>
        <scheme val="minor"/>
      </rPr>
      <t>ο</t>
    </r>
  </si>
  <si>
    <t>Πατάτες</t>
  </si>
  <si>
    <r>
      <t>2</t>
    </r>
    <r>
      <rPr>
        <vertAlign val="superscript"/>
        <sz val="11"/>
        <color theme="1"/>
        <rFont val="Calibri"/>
        <family val="2"/>
        <scheme val="minor"/>
      </rPr>
      <t>ο</t>
    </r>
  </si>
  <si>
    <t>Μία άλλη καλλιέργεια</t>
  </si>
  <si>
    <t>Σύνολο ακαθάριστου κέρδους ανά διετία</t>
  </si>
  <si>
    <t>Σύνολο ακαθάριστου κέρδους ανά τριετία</t>
  </si>
  <si>
    <t>**</t>
  </si>
  <si>
    <t>Μέσος σταθμικός όρος για τις τρεις καλλιεργητικές περιόδους (εαρινή, χειμερινή και ενδιάμεση)</t>
  </si>
  <si>
    <t>3,321 €/ha × Συντελεστή 1,5 για ανάγωγη από τα δυο στα τρία χρόνια</t>
  </si>
  <si>
    <t>Β. Υπολογισμός Ακαθάριστου Κέρδους που προκύπτει από την εφαρμογή του τριετούς συστήματος αμειψισποράς (πατάτα – άλλη καλλιέργεια εκτός από σολανώδη-ψυχανθές)</t>
  </si>
  <si>
    <r>
      <t>3</t>
    </r>
    <r>
      <rPr>
        <vertAlign val="superscript"/>
        <sz val="11"/>
        <color theme="1"/>
        <rFont val="Calibri"/>
        <family val="2"/>
        <scheme val="minor"/>
      </rPr>
      <t>ο</t>
    </r>
  </si>
  <si>
    <t>Ψυχανθές</t>
  </si>
  <si>
    <t>Σύνολο καθαρού κέρδους ανά τριετία</t>
  </si>
  <si>
    <t>Σύνολο μεταβλητών δαπανών για την καλλιέργεια και ενσωμάτωση ψυχανθών</t>
  </si>
  <si>
    <t xml:space="preserve">Το ύψος ενίσχυσης όπως αναφέρεται και στην περιγραφή της σχετικής μεθοδολογίας ισούται με τη διάφορα του Ακαθάριστου Κέρδους που προκύπτει για το γεωργό από την εφαρμογή της συνήθους πρακτικής (Σημείο Α) μείον το Ακαθάριστο Κέρδος που προκύπτει από την εφαρμογή της δράσης (σημείο Β). </t>
  </si>
  <si>
    <t>Κριθάρι</t>
  </si>
  <si>
    <t>Μονοκαλλιέργεια κριθαριού</t>
  </si>
  <si>
    <t>Α</t>
  </si>
  <si>
    <t>Ύψος της ενίσχυσης για σκοπούς του μέτρου</t>
  </si>
  <si>
    <t>Σύνολο (Α + Β)</t>
  </si>
  <si>
    <t>Α/Α</t>
  </si>
  <si>
    <t>Παραδοσιακές ποικιλίες αμπέλου</t>
  </si>
  <si>
    <t>Εκλεκτές νέες ποικιλίες αμπέλου</t>
  </si>
  <si>
    <t>Απώλεια εισοδήματος</t>
  </si>
  <si>
    <t>Απόδοση (kg/ha)</t>
  </si>
  <si>
    <t>Τιμή Πώλησης (€/kg)</t>
  </si>
  <si>
    <t>Έσοδα (€/ha)</t>
  </si>
  <si>
    <t>Μονάδα Ζωικού Κεφαλαίου (π.χ. Αγελάδα Holstein Friesians)</t>
  </si>
  <si>
    <t>Δαπάνες</t>
  </si>
  <si>
    <t>Ετησίως (€)</t>
  </si>
  <si>
    <t>Διατροφή</t>
  </si>
  <si>
    <t>Εργατικά</t>
  </si>
  <si>
    <t>Κτηνιατρικά έξοδα</t>
  </si>
  <si>
    <t>Τεχνική γονιμοποίηση</t>
  </si>
  <si>
    <t>Έξοδα μηχανημάτων</t>
  </si>
  <si>
    <t>ΣΥΝΟΛΟ</t>
  </si>
  <si>
    <t>Έσοδα</t>
  </si>
  <si>
    <t>Κρέας</t>
  </si>
  <si>
    <t>Γάλα</t>
  </si>
  <si>
    <t>Ντόπια Φυλή</t>
  </si>
  <si>
    <t>Διαφυγόν Εισόδημα (€)</t>
  </si>
  <si>
    <t>Ύψος της ενίσχυσης για σκοπούς του μέτρου (€/Μονάδα Ζωικού Κεφαλαίου)</t>
  </si>
  <si>
    <t>Μέτρο</t>
  </si>
  <si>
    <t>10.1.1Α</t>
  </si>
  <si>
    <t>Αποκλεισμός της χρήσης Χημικών Ζιζανιοκτόνων στην Καλλιέργεια των Φυλλοβόλων Δένδρων</t>
  </si>
  <si>
    <t>10.1.1Β</t>
  </si>
  <si>
    <t>Αποκλεισμός της χρήσης Χημικών Ζιζανιοκτόνων στην Καλλιέργεια της Ελιάς</t>
  </si>
  <si>
    <t>10.1.1Γ</t>
  </si>
  <si>
    <t>Αποκλεισμός της χρήσης Χημικών Ζιζανιοκτόνων στην Καλλιέργεια των Εσπεριδοειδών</t>
  </si>
  <si>
    <t>10.1.1Δ</t>
  </si>
  <si>
    <t>Αποκλεισμός της χρήσης Χημικών Ζιζανιοκτόνων στην Καλλιέργεια του Παραδοσιακού Τοπίου</t>
  </si>
  <si>
    <t>10.1.1E</t>
  </si>
  <si>
    <t>10.1.2Α</t>
  </si>
  <si>
    <t>Εφαρμογή Κύκλου Τριετούς Αμειψισποράς στην Καλλιέργεια της Πατάτας</t>
  </si>
  <si>
    <t>10.1.3A</t>
  </si>
  <si>
    <t>10.1.3B</t>
  </si>
  <si>
    <t>Κατανάλωση βενζίνης: 0,2 L/h × 1,20 €/L = 0,24 €/h</t>
  </si>
  <si>
    <t>I</t>
  </si>
  <si>
    <t>-</t>
  </si>
  <si>
    <t>Υπ. Γεω.</t>
  </si>
  <si>
    <t>Κόστος μηχανικής εργασίας για καλλιέργεια μεταξύ των γραμμών – Χρήση ελκυστήρα 47 hp &amp; σβάρνα (3 φόρες × 6 hours/ha × 4,50 €/hour)</t>
  </si>
  <si>
    <t>Κόστος μηχανικής εργασίας με χορτοκοπτικό μηχάνημα 3hp επί των γραμμών (3 φόρες × 20 hours/ha × 0,74 €/hour) *</t>
  </si>
  <si>
    <t>Αμοιβή ανθρώπινης εργασίας για τη μηχανική καταπολέμηση (3 φορές × 20 hours/ha + 3 φορές × 6 hours/ha × 6,85 €/hour)</t>
  </si>
  <si>
    <t>€ 1,330 - € 250 = € 1,080</t>
  </si>
  <si>
    <r>
      <t xml:space="preserve">A - B = </t>
    </r>
    <r>
      <rPr>
        <b/>
        <sz val="11"/>
        <color theme="1"/>
        <rFont val="Calibri"/>
        <family val="2"/>
      </rPr>
      <t>€</t>
    </r>
    <r>
      <rPr>
        <b/>
        <sz val="11"/>
        <color theme="1"/>
        <rFont val="Calibri"/>
        <family val="2"/>
        <scheme val="minor"/>
      </rPr>
      <t>13,005 - €8,366€ = 4,639 €/ha</t>
    </r>
  </si>
  <si>
    <t>Για σκοπούς εφαρμογής του μέτρου θα παρέχεται ενίσχυση ύψους 700 €/ha</t>
  </si>
  <si>
    <t>10.1.6: Προστασία Φυσικής Βλάστησης και Χαρακτηριστικών του Τοπίου, περιμετρικά των αγροτεμαχίων για σκοπούς βιοποικιλότητας</t>
  </si>
  <si>
    <t>Πρακτική</t>
  </si>
  <si>
    <t>Πρώτο πότισμα κατά τη φύτευση</t>
  </si>
  <si>
    <t>Συντήρηση ξερολιθιών και άλλων λιθόκτιστων δομών</t>
  </si>
  <si>
    <t>Ημερομίσθιο εργάτη (4 ημέρες εργασίας / ha)</t>
  </si>
  <si>
    <t>10.1.7: Συντήρηση υφιστάμενων ξερολιθιών εντός αγροτεμαχίων</t>
  </si>
  <si>
    <t>Προστασία Φυσικής Βλάστησης και Χαρακτηριστικών του Τοπίου, περιμετρικά των αγροτεμαχίων για σκοπούς βιοποικιλότητας</t>
  </si>
  <si>
    <t>10.1.6</t>
  </si>
  <si>
    <t>10.1.7</t>
  </si>
  <si>
    <t>Συντήρηση υφιστάμενων ξερολιθιών εντός αγροτεμαχίων</t>
  </si>
  <si>
    <t>10.1.8</t>
  </si>
  <si>
    <t>10.1.9</t>
  </si>
  <si>
    <t>Περιγραφή Πράξης</t>
  </si>
  <si>
    <t>€/ha</t>
  </si>
  <si>
    <t>Ημερομίσθιο εργάτη</t>
  </si>
  <si>
    <t>Επιβάρυνση €/ha</t>
  </si>
  <si>
    <t xml:space="preserve">Ύψος ενίσχυσης για σκοπούς του μέτρου: </t>
  </si>
  <si>
    <t>Αντικατάσταση καλλιέργειας εσπεριδοειδών με καλλιέργεια ελιάς, με στόχο την μείωση των πιέσεων στους υπόγειους υδροφορείς Δυτικής Μεσαορίας και Πόλεως Χρυσοχούς</t>
  </si>
  <si>
    <t>Διαφυγόν Εισόδημα</t>
  </si>
  <si>
    <t>Καθαρό κέρδος από την καλλιέργεια εσπεριδοειδών ανά έτος</t>
  </si>
  <si>
    <t>Σύνολο (i - ii)</t>
  </si>
  <si>
    <t>Αντικατάσταση καλλιέργειας εσπεριδοειδών με καλλιέργεια χαρουπιάς με στόχο την μείωση των πιέσεων στους υπόγειους υδροφορείς Δυτικής Μεσαορίας και Πόλεως Χρυσοχούς</t>
  </si>
  <si>
    <t>Καθαρό κέρδος από την καλλιέργεια χαρουπιάς ανά έτος</t>
  </si>
  <si>
    <t>Αντικατάσταση καλλιέργειας εσπεριδοειδών με καλλιέργεια φραγκοσυκιών με στόχο την μείωση των πιέσεων στους υπόγειους υδροφορείς Δυτικής Μεσαορίας και Πόλεως Χρυσοχούς</t>
  </si>
  <si>
    <t>Καθαρό κέρδος από την καλλιέργεια φραγκοσυκιών ανά έτος</t>
  </si>
  <si>
    <t>Περιγραφή Υφιστάμενης Γεωργικής Πρακτικής</t>
  </si>
  <si>
    <t>800 €/ha</t>
  </si>
  <si>
    <r>
      <t>Επιβάρυνση (</t>
    </r>
    <r>
      <rPr>
        <b/>
        <sz val="11"/>
        <rFont val="Calibri"/>
        <family val="2"/>
      </rPr>
      <t>€/ha)</t>
    </r>
  </si>
  <si>
    <t>Αμοιβή ανθρώπινης εργασίας για τη χρήση χορτοκοπτικής μηχανής 3 hp επί των γραμμών (3 φορές × 20 hours/ha × 6,85 €/hour)</t>
  </si>
  <si>
    <t>Αμοιβή ανθρώπινης εργασίας για την χρήση μηχανοκινήτου ελκυστήρα 10 hp μεταξύ των γραμμών (3 φορές × 13 hours/ha × 6,85 €/hour)</t>
  </si>
  <si>
    <r>
      <t xml:space="preserve">Κόστος μηχανικής εργασίας για τη χρήση χορτοκοπτικής μηχανής 3 hp (60 hours </t>
    </r>
    <r>
      <rPr>
        <sz val="11"/>
        <rFont val="Calibri"/>
        <family val="2"/>
      </rPr>
      <t>×</t>
    </r>
    <r>
      <rPr>
        <sz val="11"/>
        <rFont val="Calibri"/>
        <family val="2"/>
        <scheme val="minor"/>
      </rPr>
      <t xml:space="preserve"> 0,74 €/hour) *</t>
    </r>
  </si>
  <si>
    <t>Κόστος μηχανικής εργασίας για τη χρήση μηχανοκινήτου ελκυστήρα 10 hp (39 hours × 2,70 €/hour)</t>
  </si>
  <si>
    <t>Σύνολο (i + ii + iii + iv)</t>
  </si>
  <si>
    <t xml:space="preserve">Αμοιβή ανθρώπινης εργασίας για την εφαρμογή των ζιζανιοκτόνων (24 hours × 6,85 €/hour) </t>
  </si>
  <si>
    <t>Κόστος μηχανικής εργασίας για καλλιέργεια μεταξύ των γραμμών – Χρήση ελκυστήρα 65 hp &amp; φρέζα (2 φόρες × 3 hours/ha × 7,60 €/hour)</t>
  </si>
  <si>
    <t>Αμοιβή ανθρώπινης εργασίας για τη μηχανική καταπολέμηση (2 φορές × 23 hours/ha × 6,85 €/hour)</t>
  </si>
  <si>
    <t>Κόστος μηχανικής εργασίας για εφαρμογή των ζιζανιοκτόνων (4 hours/ha × 6,04 €/hour)</t>
  </si>
  <si>
    <t xml:space="preserve">Αμοιβή ανθρώπινης εργασίας για την εφαρμογή των ζιζανιοκτόνων (4 hours × 6,85 €/hour) </t>
  </si>
  <si>
    <t>Κόστος μηχανικής εργασίας για καλλιέργεια μεταξύ των γραμμών – Χρήση ελκυστήρα 47 hp &amp; φρέζα (2 φόρες × 12 hours/ha × 5,25 €/hour)</t>
  </si>
  <si>
    <t>Σύνολο Α + Β</t>
  </si>
  <si>
    <t>Αμοιβή ανθρώπινης εργασίας για αφαίρεση των δένδρων της προηγούμενης χρόνιας και εναπόθεση τους στο έδαφος (40 hours/ha × 6,85 €/hour)</t>
  </si>
  <si>
    <t>Αμοιβή ανθρώπινης εργασίας για αφαίρεση των παλιών φύλλων από τα δένδρα της φυτείας και εναπόθεση τους στο έδαφος (90 hours/ha × 6,85 €/hour)</t>
  </si>
  <si>
    <t xml:space="preserve">Καλλιέργεια αμειψισποράς ανά έτος </t>
  </si>
  <si>
    <t>Ακαθάριστό κέρδος ανά εκτάριο (€/ha)</t>
  </si>
  <si>
    <t>Μη συγκομιζόμενο ψυχανθές</t>
  </si>
  <si>
    <t>Σύνολο τριετίας</t>
  </si>
  <si>
    <t>Σύγκριση με μονοκαλλιέργεια κριθαριού (υφιστάμενη αμειψισπορά)</t>
  </si>
  <si>
    <t>Διαφορά κέρδους στην τριετία</t>
  </si>
  <si>
    <t xml:space="preserve">Διαφορά κέρδους ανά έτος ανά ha </t>
  </si>
  <si>
    <t>Εφαρμογή Κύκλου Τριετούς Αμειψισποράς στις Αροτραίες Καλλιέργειες, σε όλη την Κύπρο</t>
  </si>
  <si>
    <t>Εφαρμογή Κύκλου Τριετούς Αμειψισποράς στις Αροτραίες Καλλιέργειες, σε συγκεκριμένες περιοχές</t>
  </si>
  <si>
    <t>Μείωση απαιτήσεων νερού άρδευσης σε επίπεδο υδροφορέα - Μείωση εκτάσεων με υδροβόρες δενδρώδεις καλλιέργειες</t>
  </si>
  <si>
    <t>10.1.2.Β1: Εφαρμογή Κύκλου Τριετούς Αμειψισποράς στις Αροτραίες Καλλιέργειες, σε όλη την Κύπρο</t>
  </si>
  <si>
    <t>Υπολογισμός Τριετούς Συστήματος Αμειψισποράς στα Σιτηρά</t>
  </si>
  <si>
    <t>Καλλιέργεια Αμειψισποράς</t>
  </si>
  <si>
    <t>Ακαθάριστο Κέρδος (€/ha)</t>
  </si>
  <si>
    <t>Χλωρά Λίπανση</t>
  </si>
  <si>
    <t xml:space="preserve">Για το καθορισμό της πρόσθετης δαπάνης από την χρήση πιστοποιημένου σπόρου υπολογίστηκε η διαφορά αγοράς του αναγκαίου πιστοποιημένου σπόρου σε σύγκριση με το κόστος (αξία πώλησης) της χρήση σπόρου δικής τους παραγωγής που είναι η συνήθης πρακτική. Το ποσό ανέρχεται στα 54 €/ha ανά έτος . </t>
  </si>
  <si>
    <t xml:space="preserve">10.1.8: Αγροπεριβαλλοντικές υποχρεώσεις για τη διατήρηση, βιώσιμη χρήση και ανάπτυξη σε παραδοσιακές ποικιλίες αμπέλου </t>
  </si>
  <si>
    <t>Ύψος  ενίσχυσης για σκοπούς του μέτρου</t>
  </si>
  <si>
    <t>10.1.9: Αγροπεριβαλλοντικές υποχρεώσεις για τη διατήρηση, βιώσιμη χρήση και ανάπτυξη σε παραδοσιακές φυλές ζώων</t>
  </si>
  <si>
    <t>Είδος Καλλιέργειας</t>
  </si>
  <si>
    <t xml:space="preserve">Η εν λόγω μελέτη υποστηρίζει ότι η ημερήσια βοσκήσιμη ύλη εκτιμάται στο 2,5% του σωματικού βάρους των μηρυκαστικών. Για παράδειγμα, αν το μέσο βάρος ενός ζώου είναι 50 kg τότε η ημερήσια ποσότητα βοσκήσιμης ύλης που απαιτείται για κάθε ζώο ανέρχεται στα 1,3 kg (50 kg x 2,5%).   </t>
  </si>
  <si>
    <t>12.1.1</t>
  </si>
  <si>
    <t>12.1.2</t>
  </si>
  <si>
    <t>Διαχείριση Βοσκοτόπων</t>
  </si>
  <si>
    <t>Είδος εκτάσεων/ καλλιέργειας στις περιοχές Natura 2000</t>
  </si>
  <si>
    <t>Μέση τιμή συνολικών εσόδων ανά καλλιέργεια (ανά/εκτάριο) σε ευρώ αφαιρεμένα τα αντίστοιχα έξοδα (Σημ. 1)</t>
  </si>
  <si>
    <t>Κόστος Δέσμευσης/ εκτάριο</t>
  </si>
  <si>
    <t>Αμπέλια</t>
  </si>
  <si>
    <t>Ελιές</t>
  </si>
  <si>
    <t>Πολυετείς καλλιέργειες εξαιρουμένων ορισμένων δενδρώδη καλλιεργειών (ακρόδρυα και εσπεριδοειδή)</t>
  </si>
  <si>
    <t xml:space="preserve">Ποσοστό Ασυγκόμιστης Κάρπωσης (Σημ. 2) </t>
  </si>
  <si>
    <t>Σημ. 1:  Norm Input/Output.  Για τα φυλλοβόλα υπολογίστηκε η μέση τιμή και των 7 ειδών καλλιέργειας για σκοπούς πρακτικότητας, αφού στις πλείστες των περιπτώσεων οι καλλιέργειες είναι μικτές.</t>
  </si>
  <si>
    <t>Σημ. 2:  Τα ποσοστά ασυγκόμιστης παραγωγής για τα αμπέλια φτάνει το 20-30% και για τις δενδρώδεις καλλιέργειες 5-8%.  Για σκοπούς υπολογισμού υπολογίζεται η μέση τιμή.</t>
  </si>
  <si>
    <t>Περιοχές Natura</t>
  </si>
  <si>
    <t>Δενδρώδεις πολυετείς εξαιρουμένων ακρόδρυων και εσπεριδοειδών</t>
  </si>
  <si>
    <t>Ετήσιες Καλλιέργειες</t>
  </si>
  <si>
    <t>Περιοχές Συνεκτικότητας</t>
  </si>
  <si>
    <t>Για την εφαρμογή της Δράσης διατήρηση ασυγκόμιστης παραγωγής σε πολυετείς καλλιέργειες θα παρέχεται ετήσια ενίσχυση €160 ανά εκτάριο για την κάλυψη απώλειας εισοδήματος.</t>
  </si>
  <si>
    <t>Για την εφαρμογή της Δράσης διατήρησης ασυγκόμιστης παραγωγής σε ετήσιες καλλιέργειες θα παρέχεται ετήσια ενίσχυση €80 ανά εκτάριο για το διαφυγόν εισόδημα του γεωργού για την κάλυψη απώλειας εισοδήματος.</t>
  </si>
  <si>
    <t>Το ύψος ενίσχυσης για σκοπούς εφαρμογής του μέτρου ανέρχεται στα € 145/ ha</t>
  </si>
  <si>
    <t>Εσπεριδοειδή (πορτοκάλια)</t>
  </si>
  <si>
    <t>Αμπέλια (Επιτραπέζια)</t>
  </si>
  <si>
    <t>Αμπέλια (Οινοποιήσιμα)</t>
  </si>
  <si>
    <t>Υπαίθρια λαχανικά</t>
  </si>
  <si>
    <t>Χαρούπια</t>
  </si>
  <si>
    <t>Αναλυτικότερα στοιχεία για τον υπολογισμό των πιο πάνω ποσών κατά καλλιέργεια παρατίθενται πιο κάτω:</t>
  </si>
  <si>
    <t>ΜΕΤΑΒΑΤΙΚΗ ΚΑΛΛΙΕΡΓΕΙΑ</t>
  </si>
  <si>
    <t>ΣΥΜΒΑΤΙΚΗ ΚΑΛΛΙΕΡΓΕΙΑ</t>
  </si>
  <si>
    <t>ΤΙΜΗ ΠΡΟΪΟΝΤΟΣ (€/ tn)</t>
  </si>
  <si>
    <t>ΑΞΙΑ ΠΑΡΑΓΩΓΗΣ (€/ ha)</t>
  </si>
  <si>
    <t>ΔΑΠΑΝΕΣ (€/ ha)</t>
  </si>
  <si>
    <t>ΑΠΟΔΟΣΗ (tn/ha)</t>
  </si>
  <si>
    <t>ΑΠΟΔΟΣΗ (tn/ha) (ελαιόλαδο)</t>
  </si>
  <si>
    <t>Μ.Ο για την τριετία</t>
  </si>
  <si>
    <t>Βίκος για σανό</t>
  </si>
  <si>
    <t>Βίκος για χλωρή λίπανση</t>
  </si>
  <si>
    <t>ΑΞΙΑ ΠΑΡΑΓΩΓΗΣ (€/ tn)</t>
  </si>
  <si>
    <t>ΔΑΠΑΝΕΣ</t>
  </si>
  <si>
    <t>Τομάτες</t>
  </si>
  <si>
    <t>Αγγουρ</t>
  </si>
  <si>
    <t>Καρπούζι</t>
  </si>
  <si>
    <t>Μ.Ο</t>
  </si>
  <si>
    <t>Είδος Ζώου</t>
  </si>
  <si>
    <t>Πρόβατα</t>
  </si>
  <si>
    <t>Αίγες</t>
  </si>
  <si>
    <t>*Η επιδότηση, όπως παρουσιάζεται στην τελευταία στήλη του πιο πάνω πίνακα, θα πρέπει να κατανέμεται κατ’ έκταση βοσκότοπου που κατέχει ο δικαιούχος κτηνοτρόφος, ούτως ώστε να συνάδει με τις πρόνοιες του Κανονισμού (ΕΚ) 834/2007, προοίμιο παράγραφος 16, Άρθρο 14 και του Κανονισμού (ΕΚ) 889/2008, προοίμιο παράγραφος 8 που θέλουν τη βιολογική ζωική παραγωγή να είναι δραστηριότητα άρρηκτα συνδεδεμένη με τη γη (πρόβλεψη για απαγόρευση της κτηνοτροφίας εκτός εδάφους) και τα ζώα να έχουν μόνιμη πρόσβαση σε υπαίθριους χώρους άσκησης και σε βοσκότοπους.</t>
  </si>
  <si>
    <t>Αναλυτικότερα στοιχεία για τον υπολογισμό των πιο πάνω ποσών κατά είδος ζώου παρέχονται στους πίνακες 2.1, 2.2 και 2.3 που παρατίθενται πιο κάτω.</t>
  </si>
  <si>
    <t>Έσοδα και δαπάνες για μονάδα με 144 προβατίνες και 6 κριούς</t>
  </si>
  <si>
    <t>Είδος Προϊόντος</t>
  </si>
  <si>
    <t>Μαλλί και κοπριά</t>
  </si>
  <si>
    <t>Συνολική απόδοση</t>
  </si>
  <si>
    <t>Έσοδα και δαπάνες για μονάδα με 144 αίγες και 6 τράγους</t>
  </si>
  <si>
    <t>Κοπριά</t>
  </si>
  <si>
    <t>Για τους σκοπούς των εν λόγω υπολογισμών, έχουν ληφθεί υπόψη τα δεδομένα από τις Τυπικές Εισροές – Εκροές για τις Κυπριακές Φυτικές και Ζωοκομικές Επιχειρήσεις της Κύπρου του Ινστιτούτου Γεωργικών Ερευνών για το 2011, όπου αυτό ήταν δυνατό.</t>
  </si>
  <si>
    <t>Όπου κατά τους υπολογισμούς το ποσό του διαφυγόντος εισοδήματος  ξεπερνά τα  μέγιστα επιτρεπόμενα ποσά σύμφωνα με το παράρτημα ΙΙ του Κανονισμού (ΕΚ) 1305/2013, τότε το ύψος της ενίσχυσης έχει οριστεί στο μέγιστο επιτρεπτό ποσό.</t>
  </si>
  <si>
    <t>ΒΙΟΛΟΓΙΚΗ ΚΑΛΛΙΕΡΓΕΙΑ</t>
  </si>
  <si>
    <t>10.1.10</t>
  </si>
  <si>
    <t>10.1.4</t>
  </si>
  <si>
    <t>Μεθοδολογία υπολογισμού του ύψους ενίσχυσης για εφαρμογή Βιολογικής Παραγωγής Προϊόντων</t>
  </si>
  <si>
    <t>Κατά τον καθορισμό του ύψους ενίσχυσης εφαρμόζεται η μέθοδος του Μερικού Προϋπολογισμού. Υπολογίζεται δηλαδή το διαφυγόν εισόδημα του γεωργού από την εφαρμογή της δράσης αλλά και το επιπλέον κόστος που προκύπτει για τον γεωργό από την εφαρμογή αυτής. Το διαφυγόν εισόδημα ισούται με τη διαφορά του εισοδήματος του παραγωγού που προκύπτει από ένα εκτάριο συμβατικής καλλιέργειας  προϊόντος μείον το εισόδημα του παραγωγού που προκύπτει από ένα εκτάριο βιολογικής καλλιέργειας προϊόντος. Το επιπλέον κόστος ισούται με τη διαφορά του κόστους παραγωγής σε ένα εκτάριο βιολογικής καλλιέργειας προϊόντος μείον το κόστος παραγωγής σε ένα εκτάριο συμβατικής καλλιέργειας προϊόντος. Το άθροισμα του διαφυγόντος εισοδήματος και του επιπλέον κόστους ισούται με το ύψος της ετήσιας ενίσχυσης για την εφαρμογή της δράσης.</t>
  </si>
  <si>
    <t>Επιπλέον όσον αφορά στις ετήσιες καλλιέργειες και για την αποφυγή διπλής χρηματοδότησης, στους υπολογισμούς λήφθηκε υπόψη ως καλλιέργεια αναφοράς μια συμβατική καλλιέργεια η οποία δεν τηρεί τις υποχρεώσεις για πρασίνισμα. Στη συνέχεια αφαιρέθηκε ένα ποσοστό (20% του πρασινίσματος των άμεσων ενισχύσεων με στοιχεία του 2014, όπου η ανά εκτάριο ενίσχυση ανερχόταν στο ύψος των 375€) το οποίο, αποκλείει τη διπλή χρηματοδότηση.</t>
  </si>
  <si>
    <t xml:space="preserve">ΑΠΟΔΟΣΗ (tn/ha) </t>
  </si>
  <si>
    <t>Μεθοδολογία υπολογισμού του ύψους ενίσχυσης για εφαρμογή Μεταβατικής Παραγωγής Προϊόντων</t>
  </si>
  <si>
    <t xml:space="preserve">Κατά τον καθορισμό του ύψους ενίσχυσης εφαρμόζεται η μέθοδος του Μερικού Προϋπολογισμού. Υπολογίζεται δηλαδή το διαφυγόν εισόδημα του γεωργού από την εφαρμογή της δράσης αλλά και το επιπλέον κόστος που προκύπτει για τον γεωργό από την εφαρμογή αυτής. Το διαφυγόν εισόδημα ισούται με τη διαφορά του εισοδήματος του παραγωγού που προκύπτει από ένα εκτάριο συμβατικής καλλιέργειας  προϊόντος μείον το εισόδημα του παραγωγού που προκύπτει από ένα εκτάριο μεταβατικής καλλιέργειας προϊόντος. Το επιπλέον κόστος ισούται με τη διαφορά του κόστους παραγωγής σε ένα εκτάριο μεταβατικής καλλιέργειας προϊόντος μείον το κόστος παραγωγής σε ένα εκτάριο συμβατικής καλλιέργειας προϊόντος. Το άθροισμα του διαφυγόντος εισοδήματος και του επιπλέον κόστους ισούται με το ύψος της ετήσιας ενίσχυσης για την εφαρμογή της δράσης. </t>
  </si>
  <si>
    <t>Κατά τον καθορισμό του ύψους ενίσχυσης αθροίζονται οι δύο  βασικοί παράγοντες που αποτελούν το κόστος εφαρμογής της πιο πάνω δράσης:</t>
  </si>
  <si>
    <t>Α + Β</t>
  </si>
  <si>
    <t>Ύψος ενίσχυσης για σκοπούς του μέτρου: €400/ ha</t>
  </si>
  <si>
    <t>Αμπέλι</t>
  </si>
  <si>
    <t>Ύψος ενίσχυσης για σκοπούς του μέτρου (€/ha)</t>
  </si>
  <si>
    <t>Φυλλοβόλα</t>
  </si>
  <si>
    <t>Παραδοσιακό τοπίο</t>
  </si>
  <si>
    <t>Επιβάρυνση (€/ha)</t>
  </si>
  <si>
    <t xml:space="preserve">Αμοιβή ανθρώπινης εργασίας για την εφαρμογή των ζιζανιοκτόνων (16 hours × 6,85 €/hour) </t>
  </si>
  <si>
    <t>Μεθοδολογία υπολογισμού του ποσού ενίσχυσης (όπου ισχύει)</t>
  </si>
  <si>
    <t>Δεν υπάρχει κανένας κίνδυνος για διπλή χρηματοδότηση σχετικά με το πρασίνισμα, καθώς ο αιτητής υποχρεούται να τηρήσει τις υποχρεώσεις του πρασινίσματος στα πλαίσια του Πυλώνα Ι. Η αμειψισπορά δεν θεωρείται ως ισοδύναμη πρακτική.</t>
  </si>
  <si>
    <t>10.1.4: Διατήρηση περιβαλλοντικά φιλικών γεωργικών πρακτικών στην καλλιέργεια της μπανάνας</t>
  </si>
  <si>
    <t xml:space="preserve"> €/ha</t>
  </si>
  <si>
    <t>Ύψος ενίσχυσης για σκοπούς του μέτρου</t>
  </si>
  <si>
    <t xml:space="preserve">12.1.1 Διατήρηση ασυγκόμιστης παραγωγής σε γεωργικές, δασικές δικτύου Natura 2000 καθώς και περιοχές συνεκτικότητας </t>
  </si>
  <si>
    <t xml:space="preserve">11.2 Ενίσχυση για τη διατήρηση πρακτικών και μεθόδων βιολογικής γεωργίας </t>
  </si>
  <si>
    <t>Κόστος (€/ ha/ έτος)</t>
  </si>
  <si>
    <t>Ημερομίσθιο εργάτη (1 ημέρα εργασίας / ha)</t>
  </si>
  <si>
    <t>Φύτευση αυτοφυούς βλάστησης για εμπλουτισμό φυσικής βλάστησης</t>
  </si>
  <si>
    <t>Άνοιγμα λάκκων</t>
  </si>
  <si>
    <t>Φύτευση σε λάκκους</t>
  </si>
  <si>
    <t>Συνολικό κόστος: Α+Β+Γ</t>
  </si>
  <si>
    <t>Ύψος της ενίσχυσης για σκοπούς του μέτρου = 430 €/ ha</t>
  </si>
  <si>
    <t>Διάρκεια της δέσμευσης (ημέρες)</t>
  </si>
  <si>
    <t>Ανάγκη σε Χονδροειδή ζωοτροφή / ζώο (kg/ μέρα),υγρασία 12%, περίπου</t>
  </si>
  <si>
    <t>Σύμφωνα με τη μελέτη ‘Η σημασία της βοσκοφόρτωσης στη διαχείριση των βοσκοτόπων: Οδηγίες Εφαρμογής’ που έχει γίνει από τον Δρ. Θωμά Γ. Παπαχρήστου (Ινστιτούτο Δασικών Ερευνών) καταδεικνύει ότι ο αριθμός των ζώων (αιγοπροβάτων) ανά δεκάριο στα μεσογειακά οικοσυστήματα πρέπει να ανέρχεται στα δύο. Η βοσκοφόρτωση είναι ο αριθμός των ζώων που βόσκουν σε ένα βοσκότοπο και είναι το σημαντικότερο διαχειριστικό εργαλείο για τη διαχείριση των οικοτόπων και τη φέρουσα βοσκοικανότητα (αριθμός ζώων που μπορούν να βοσκήσουν και να αποδώσουν το μέγιστο δυνατό σε ένα βοσκότοπο μακροπρόθεσμα χωρίς αυτός να ζημιωθεί). Ο αριθμός των ζώων ανά δεκάριο στην εν λόγω μελέτη έχει υπολογιστεί ως εξής: η μηνιαία παραγωγή βοσκήσιμης ύλης σε ένα ποολίβαδο κατά τους μήνες Φεβρουάριο και Μαρτιο ανέρχεται σε 65-70 kg ανά δεκάριο με συνέπεια ο λόγος παραγωγής/μέρες να ανέρχεται σε 65/30=2,16.</t>
  </si>
  <si>
    <t xml:space="preserve">Αριθμός ζώων ανά εκτάριο βοσκοτόπου </t>
  </si>
  <si>
    <t>Περιοχές εφαρμογής του μέτρου</t>
  </si>
  <si>
    <t>Χερσόνησος Ακάμα</t>
  </si>
  <si>
    <t>Κοιλάδα Διαρίζου</t>
  </si>
  <si>
    <t>Συνολικό κόστος/ έτος (€)</t>
  </si>
  <si>
    <t>Κόστος €/ ha</t>
  </si>
  <si>
    <t>Διαφορά ανά έτος</t>
  </si>
  <si>
    <t>Χρήση πιστοποιημένου σπόρου ανά έτος</t>
  </si>
  <si>
    <t>II</t>
  </si>
  <si>
    <t>III</t>
  </si>
  <si>
    <t>IV</t>
  </si>
  <si>
    <t>V</t>
  </si>
  <si>
    <t>VI</t>
  </si>
  <si>
    <t>VII</t>
  </si>
  <si>
    <t>Σύνολο τριετούς αμειψισποράς (Ι+ΙΙ+ΙΙΙ)</t>
  </si>
  <si>
    <t>Μονοκαλλιέργεια κριθαριού (3 Χ ΙΙΙ)</t>
  </si>
  <si>
    <t>Διάφορα (ΙV-V) για 3 έτη</t>
  </si>
  <si>
    <t>Συνολικό κόστος ανά έτος (VI+VII)</t>
  </si>
  <si>
    <t xml:space="preserve">Το διαφυγόν εισόδημα έχει υπολογιστεί ως η αξία των ζωοτροφών (χονδροειδης τροφή) για δύο μήνες (60 ημέρες) που θα είναι σταβλισμένα τα ζώα.  </t>
  </si>
  <si>
    <t>Σύμφωνα με τους πιο πάνω υπολογισμούς οι κτηνοτρόφοι οι οποίοι έχουν τις εκμεταλλεύσεις τους στις περιοχές του δικτυού Natura 2000  "Χερσόνησος Ακάμα" και "Κοιλάδα Διαρίζου" θα έχουν απώλεια εισοδήματος που προκύπτει από την εφαρμογή της δράσης. Η απώλεια ανέρχεται στα €156 ανά εκτάριο ετησίως (1,3 kg x 60 ημέρ. x 0,10 τιμή σανού x 2 ζώα) για να μη βόσκουν τα ζώα από 15 Φεβρουαρίου μέχρι 15 Απριλίου κάθε έτους.</t>
  </si>
  <si>
    <t>Κόστος αγοράς ζιζανιοκτόνων</t>
  </si>
  <si>
    <t>Κόστος μηχανικής εργασίας με χορτοκοπτικό μηχάνημα 3hp επί των γραμμών (1 φoρά × 20 hours/ha × 0,74 €/hour και 2η φορά × 13,2 hours/ha × 0,74 €/hour)</t>
  </si>
  <si>
    <t>Αμοιβή ανθρώπινης εργασίας για τη μηχανική καταπολέμηση (2 φορές × 12 hours/ha × 6,85 €/hour + 1 φορά × 20 hours/ha × 6,85 €/hour + 2η φορά × 13,2 hours/ha × 6,85 €/hour)</t>
  </si>
  <si>
    <t>Το συνολικό ύψος του διαφυγόντος κέρδους και της πρόσθετης δαπάνης ανέρχεται στα 
265 €/ha ανά έτος.</t>
  </si>
  <si>
    <t>10.1.2Β.2: Εφαρμογή Κύκλου Τριετούς Αμειψισποράς στις Αροτραίες Καλλιέργειες, σε συγκεκριμένες περιοχές</t>
  </si>
  <si>
    <t>Αποκλεισμός της χρήσης Χημικών Ζιζανιοκτόνων στην Καλλιέργεια της Αμπέλου</t>
  </si>
  <si>
    <t>10.1.2.Β1</t>
  </si>
  <si>
    <t>10.1.2Β.2</t>
  </si>
  <si>
    <t>Διατήρηση περιβαλλοντικά φιλικών γεωργικών πρακτικών στην καλλιέργεια της μπανάνας</t>
  </si>
  <si>
    <t>Αγροπεριβαλλοντικές υποχρεώσεις για τη διατήρηση, βιώσιμη χρήση και ανάπτυξη σε παραδοσιακές ποικιλίες αμπέλου</t>
  </si>
  <si>
    <t>Αγροπεριβαλλοντικές υποχρεώσεις για τη διατήρηση, βιώσιμη χρήση και ανάπτυξη σε παραδοσιακές φυλές ζώων</t>
  </si>
  <si>
    <t>Μετατροπή από τη συμβατική στη βιολογική γεωργία</t>
  </si>
  <si>
    <t>Ενίσχυση για τη διατήρηση πρακτικών και μεθόδων βιολογικής γεωργίας</t>
  </si>
  <si>
    <t>Διατήρηση ασυγκόμιστης παραγωγής σε γεωργικές, δασικές δικτύου Natura 2000 καθώς και περιοχές συνεκτικότητας</t>
  </si>
  <si>
    <t>Γ</t>
  </si>
  <si>
    <t>Εκμίσθωση αυτοκινήτου για μεταφορά κλαδεμάτων 
(1 ημέρα εργασίας / ha)</t>
  </si>
  <si>
    <t>Απομάκρυνση γεωργικής δενδρώδους καλλιέργειας 
(εισβλητικά είδη Ακακίας και Ξευδοακακίας)</t>
  </si>
  <si>
    <t>1.       ΦΥΤΙΚΗ ΠΑΡΑΓΩΓΗ</t>
  </si>
  <si>
    <t>Αγγουράκια</t>
  </si>
  <si>
    <t>Καρπούζια</t>
  </si>
  <si>
    <t>Κριθάρι σπόρος</t>
  </si>
  <si>
    <t>Βίκος Σανός</t>
  </si>
  <si>
    <t>Ελιές (Ξηρικές) για ελαιόλαδο</t>
  </si>
  <si>
    <t>Ελιές (αρδευόμενες) για ελαιόλαδο</t>
  </si>
  <si>
    <t>1.α Ελιές Αρδευόμενες</t>
  </si>
  <si>
    <t>Σημείωση: στις δαπάνες συμπεριλαμβάνονται η ξένη εργασία, η μηχανική εργασία, οι εισροές, ασφάλιστρα ΟΓΑ, τόκοι κεφαλαίων κ.α.</t>
  </si>
  <si>
    <t>ΑΠΟΔΟΣΗ (Ελαιόλαδο) (tn/ha)</t>
  </si>
  <si>
    <t>ΔΑΠΑΝΕΣ (€/ha)</t>
  </si>
  <si>
    <t>ΑΞΙΑ ΠΑΡΑΓΩΓΗΣ (€/ha)</t>
  </si>
  <si>
    <t>ΤΙΜΗ ΠΡΟΪΟΝΤΟΣ (€/tn)</t>
  </si>
  <si>
    <t>1.β Εσπεριδοειδή (πορτοκάλια)</t>
  </si>
  <si>
    <t>1.γ Αμπέλια (Επιτραπέζια)</t>
  </si>
  <si>
    <t>Διαφυγόν Εισόδημα (ανά ha): Συμβατική - Μεταβατική</t>
  </si>
  <si>
    <t>Αυξημένο κόστος παραγωγής (ανά ha): Μεταβατική - Συμβατική</t>
  </si>
  <si>
    <t>1.δ Αμπέλια (Οινοποιήσιμα)</t>
  </si>
  <si>
    <t>1.ε Ελιές Ξηρικές</t>
  </si>
  <si>
    <t>1.στ Ξηρικές ετήσιες καλλιέργειες</t>
  </si>
  <si>
    <t>Κριθάρι
(σπόρος άχυρο)</t>
  </si>
  <si>
    <t>1. ζ  Πατάτες</t>
  </si>
  <si>
    <t>1.η Υπαίθρια λαχανικά</t>
  </si>
  <si>
    <t>1. θ  Χαρουπιές</t>
  </si>
  <si>
    <t>1.                  ΖΩΙΚΗ ΠΑΡΑΓΩΓΗ</t>
  </si>
  <si>
    <t>2.α Εκτροφή προβάτων</t>
  </si>
  <si>
    <t>Αρ. ζώων</t>
  </si>
  <si>
    <t>Παραγωγη</t>
  </si>
  <si>
    <t>Συνολο</t>
  </si>
  <si>
    <t>Γάλα (λίτρα)</t>
  </si>
  <si>
    <t>Αρνιά (kg)</t>
  </si>
  <si>
    <t>Τιμη (€)</t>
  </si>
  <si>
    <t>Έσοδα από Συμβατική Εκτροφή (€)</t>
  </si>
  <si>
    <t>Πρόβατα (kg)</t>
  </si>
  <si>
    <t>Έσοδα από Μεταβατική Εκτροφή (€)</t>
  </si>
  <si>
    <t>Διαφυγόν εισόδημα για όλη τη μονάδα</t>
  </si>
  <si>
    <t>Διαφυγόν εισόδημα κατά πρόβατο</t>
  </si>
  <si>
    <t>Μεταβλητές Δαπάνες (€)</t>
  </si>
  <si>
    <t>Αυξημένο κόστος παραγωγής για όλη τη μονάδα</t>
  </si>
  <si>
    <t>Αυξημένο κόστος παραγωγής ανά πρόβατο</t>
  </si>
  <si>
    <t>2.β. Εκτροφή αιγών</t>
  </si>
  <si>
    <t>Ρίφια (kg)</t>
  </si>
  <si>
    <t>Αίγες (kg)</t>
  </si>
  <si>
    <t>Διαφυγόν εισόδημα κατά αίγα</t>
  </si>
  <si>
    <t>Μέση Παραγωγή Μεταβατικών Καλλιεργειών 
tn / ha</t>
  </si>
  <si>
    <t>Διαφυγόν Εισόδημα (ανά ha): Συμβατική - Βιολογική</t>
  </si>
  <si>
    <t>Αυξημένο κόστος παραγωγής (ανά ha): Βιολογική - Συμβατική</t>
  </si>
  <si>
    <t>Αυξημένο κόστος παραγωγής  
€/ζώο</t>
  </si>
  <si>
    <t>(α)+(β) αναλογούσα ενίσχυση  
€/ζώο</t>
  </si>
  <si>
    <t>Ενίσχυση ανά εκτάριο* βοσκοτόπου
[×33 ζωα]
(€)</t>
  </si>
  <si>
    <t>Έσοδα από Βιολογική Εκτροφή (€)</t>
  </si>
  <si>
    <t>Ετήσιες καλλιέργειες 
(Αρόσιμες σιτηρά και ψυχανθή)</t>
  </si>
  <si>
    <t>Κόστος σανού €/ kg</t>
  </si>
  <si>
    <t>12.1.2: Διαχείριση Βοσκοτόπων</t>
  </si>
  <si>
    <r>
      <t>Ακαθάριστο κέρδους (</t>
    </r>
    <r>
      <rPr>
        <b/>
        <sz val="11"/>
        <color theme="1"/>
        <rFont val="Calibri"/>
        <family val="2"/>
      </rPr>
      <t>€/ha)</t>
    </r>
  </si>
  <si>
    <t>Αυξημένο κόστος παραγωγής ανά αίγα</t>
  </si>
  <si>
    <t xml:space="preserve">Έσοδα - Δαπάνες </t>
  </si>
  <si>
    <t xml:space="preserve">Καθαρό κέρδος από την καλλιέργεια ελιάς ανά έτος 
</t>
  </si>
  <si>
    <t xml:space="preserve">11.1: Μετατροπή από τη συμβατική στη βιολογική γεωργία </t>
  </si>
  <si>
    <t>Ξηρικές ετήσιες καλλιέργειες *</t>
  </si>
  <si>
    <t>* Έχουν αφαιρεθεί απ’ το σύνολο οι απαραίτητες μειώσεις (20% ή 22.50 €/ha) για αποφυγή της διπλής χρηματοδότησης σχετικά με τις υποχρεώσεις που αφορούν την εφαρμογή του "Greening"</t>
  </si>
  <si>
    <t>Για αποφυγή της διπλής χρηματοδότησης σχετικά με τις υποχρεώσεις που αφορούν την εφαρμογή του "Greening", έχουν γίνει οι απαραίτητες μειώσεις στην γραμμή 87 του πίνακα.</t>
  </si>
  <si>
    <t>Μειώσεις για αποφυγή διπλής χρηματοδότησης: (314,17 + 93,83) - 22,5 = 385,504 €</t>
  </si>
  <si>
    <t>Μέση Παραγωγή Βιολογικών Καλλιεργειών 
(tn/ha)</t>
  </si>
  <si>
    <t>Μειώσεις για αποφυγή διπλής χρηματοδότησης: (283,82 + 93,83) – 22,5 = 355,14 €</t>
  </si>
  <si>
    <t>Τρέχοντα μέτρα ξερολιθιάς που συντηρούνται ανά ημέρα</t>
  </si>
  <si>
    <t>12.5</t>
  </si>
  <si>
    <t>Ημέρες εργασίας που απιτούνται για συντήρηση 50 τρ. μέτρων/ ha</t>
  </si>
  <si>
    <t>Επιπλέον, σημειώνεται ότι εφόσον ένας αιτητής πληροί τα κριτήρια με το ελάχιστο μήκος των 50 τρ. μέτρων ξερολιθιάς/ εκτάριο, δικαιούται την ενίσχυση που αφορά το μέτρο, Τονίζεται ότι το ύψος ενίσχυσης θα δεν μεταβάλλεται σε περίπτωση που το συνολικό μήκος ξερολιθιάς υπερβαίνει το ελάχιστο για συμμετοχή στο μέτρο.</t>
  </si>
  <si>
    <t xml:space="preserve">Αγορά και μεταφορά βολοφύτων
(πυκνότητα 100 δένδρα/ ha) </t>
  </si>
  <si>
    <t>10.1.5 A: Μείωση απαιτήσεων νερού άρδευσης σε επίπεδο υδροφορέα - Μείωση εκτάσεων με υδροβόρες δενδρώδεις καλλιέργειες</t>
  </si>
  <si>
    <t>10.1.5</t>
  </si>
  <si>
    <t>10.1.3A: Στοχευμένες αγροπεριβαλλοντικές δράσεις στην καλλιέργεια της Πατάτας</t>
  </si>
  <si>
    <t>Στοχευμένες αγροπεριβαλλοντικές δράσεις στην καλλιέργεια της Πατάτας</t>
  </si>
  <si>
    <t>Στοχευμένες αγροπεριβαλλοντικές δράσεις στην καλλιέργεια των Εσπεριδοειδών</t>
  </si>
  <si>
    <t>Δράση 1</t>
  </si>
  <si>
    <t>i. Πραγματοποίηση εκτίμησης επικινδυνότητας για την τοποθεσία</t>
  </si>
  <si>
    <t>(4h x 20€ /4,2)</t>
  </si>
  <si>
    <t>(300€ / 4,2)</t>
  </si>
  <si>
    <t xml:space="preserve">Δράση 2 </t>
  </si>
  <si>
    <t xml:space="preserve">i.  Αμοιβή ανθρώπινης εργασίας για συγκομιδή των κονδύλων    </t>
  </si>
  <si>
    <t>(45h x 6,85€/h)</t>
  </si>
  <si>
    <t xml:space="preserve">Σύνολο </t>
  </si>
  <si>
    <t>Δράση 1: 100 €/εκτάριο</t>
  </si>
  <si>
    <t>Δράση 2: 250 €/εκτάριο</t>
  </si>
  <si>
    <t>Σύνολο: 350 €/εκτάριο</t>
  </si>
  <si>
    <t xml:space="preserve">Για την εφαρμογή στοχευμένων αγροπεριβαλλοντικών δράσεων στην καλλιέργεια της πατάτας, θα παρέχεται ετήσια ενίσχυση ύψους 350 €/εκτάριο, για κάλυψη του πρόσθετου κόστους. Συγκεκριμένα για τη Δράση 1 θα παρέχονται 100€/εκτάριο, ενώ για τη Δράση 2, 250€/εκτάριο. 
</t>
  </si>
  <si>
    <t xml:space="preserve">Αμοιβή ανθρώπινης εργασίας για τη σωστή διαχείριση των σκάρτων κονδύλων που προκύπτουν μετά το πέρας της συγκομιδής. Υπολογίζεται ότι απαιτούνται περίπου 45 ώρες το εκτάριο για τη συγκομιδή των σκάρτων κονδύλων που προκύπτουν μετά τη συγκομιδή.
</t>
  </si>
  <si>
    <t xml:space="preserve">Πραγματοποίηση εκτίμησης επικινδυνότητας κατά πόσο η τοποθεσία είναι κατάλληλη για παραγωγή, σε σχέση με την ασφάλεια τροφίμων, το περιβάλλον και την υγεία των ζώων, καθώς και ανάπτυξη ενός σχεδίου διαχείρισης το οποίο καθορίζει στρατηγικές ελαχιστοποίησης των κινδύνων που αναγνωρίζονται από την εκτίμηση επικινδυνότητας.
Υπολογίζεται το κόστος εκπόνησης της εκτίμησης επικινδυνότητας και του σχεδίου διαχείρισης, τα οποία πραγματοποιούνται ετήσια. Για την πραγματοποίηση τους υπολογίζεται ότι χρειάζονται 4 ώρες από εξειδικευμένο σύμβουλο και η χρέωση υπολογίζεται 20€/ώρα. 
</t>
  </si>
  <si>
    <t xml:space="preserve">Πραγματοποίηση εκτίμησης επικινδυνότητας, δειγματοληψία και διενέργεια αναλύσεων για υπολείμματα φυτοπροστατευτικών ουσιών.
Υπολογίζεται το κόστος εκπόνησης της εκτίμησης επικινδυνότητας και το κόστος διενέργειας των αναλύσεων, τα οποία πραγματοποιούνται ετήσια. Για την εκπόνηση της εκτίμησης επικινδυνότητας υπολογίζεται ότι χρειάζονται 4 ώρες από εξειδικευμένο σύμβουλο και η χρέωση υπολογίζεται 20€/ώρα. 
Για την διενέργεια των αναλύσεων, υπολογίζεται ότι ο κάθε αιτητής θα διενεργεί μία ανάλυση, η οποία κοστολογείται 300€
</t>
  </si>
  <si>
    <t>Για σκοπούς αναγωγής της κοστολόγησης των πιο πάνω δράσεων σε επίπεδο εκταρίου, τόσο για την κοστολόγηση της εκπόνησης των εκτιμήσεων επικινδυνότητας και σχεδίου δράσης, όσο και για τη διενέργεια αναλύσεων, λαμβάνεται υπόψη ο μέσος όρος της έκτασης ανά εκμετάλλευση ο οποίος είναι 4,2 εκτάρια*.</t>
  </si>
  <si>
    <t>Δράση 3: 0 €/εκτάριο</t>
  </si>
  <si>
    <t>Ύψος της Ενίσχυσης στα πλαίσια του καθεστώτος: 350 €/εκτάριο</t>
  </si>
  <si>
    <t>10.1.3Β: Στοχευμένες αγροπεριβαλλοντικές δράσεις στην καλλιέργεια των εσπεριδοειδών</t>
  </si>
  <si>
    <t xml:space="preserve">Κατά τον καθορισμό του ύψους ενίσχυσης, αθροίζονται οι βασικοί παράγοντες που αποτελούν το κόστος εφαρμογής των δράσεων. </t>
  </si>
  <si>
    <t>Τύπος Παγίδας</t>
  </si>
  <si>
    <t>Κόστος παγίδας (€)</t>
  </si>
  <si>
    <t>Αρ. παγίδων στα 5 χρόνια/εκτ.</t>
  </si>
  <si>
    <t>Συνολικό κόστος παγίδων στα 5 χρόνια /εκτ. (€)</t>
  </si>
  <si>
    <t>Κόστος παγίδων /έτος/εκτ. (€)</t>
  </si>
  <si>
    <t>Mcphail, Tephritrap</t>
  </si>
  <si>
    <t>Ceratrap</t>
  </si>
  <si>
    <t>Μ.ο.</t>
  </si>
  <si>
    <t xml:space="preserve">Στις παγίδες θα τοποθετείται προσελκυστκή ουσία ανά 15 μέρες κατά τη διάρκεια παραμονής των παγίδων στα δέντρα, η οποία κατά μέσο όρο υπολογίζεται στους 3 μήνες (90 μέρες) ανά έτος. </t>
  </si>
  <si>
    <t>Αναφορικά με την ανθρώπινη εργασία, υπολογίζεται ότι χρειάζονται 3 λεπτά ανά παγίδα για την ετοιμασία της δηλ. την τοποθέτηση της στα δέντρα και ακολούθως την τοποθέτηση της προσελκυστικής ουσίας.</t>
  </si>
  <si>
    <t>Πραγματοποίηση εκτίμησης επικινδυνότητας κατά πόσο η τοποθεσία είναι κατάλληλη για παραγωγή, σε σχέση με την ασφάλεια τροφίμων, το περιβάλλον και την υγεία των ζώων, καθώς και ανάπτυξη ενός σχεδίου διαχείρισης το οποίο καθορίζει στρατηγικές ελαχιστοποίησης των κινδύνων που αναγνωρίζονται από την εκτίμηση επικινδυνότητας.</t>
  </si>
  <si>
    <t xml:space="preserve">Υπολογίζεται το κόστος εκπόνησης της εκτίμησης επικινδυνότητας και του σχεδίου διαχείρισης, τα οποία πραγματοποιούνται ετήσια. Για την πραγματοποίηση τους υπολογίζεται ότι χρειάζονται 4 ώρες από εξειδικευμένο σύμβουλο και η χρέωση υπολογίζεται 20€/ώρα. </t>
  </si>
  <si>
    <t>Πραγματοποίηση εκτίμησης επικινδυνότητας, δειγματοληψία και διενέργεια αναλύσεων για υπολείμματα φυτοπροστατευτικών ουσιών.</t>
  </si>
  <si>
    <t xml:space="preserve">Υπολογίζεται το κόστος εκπόνησης της εκτίμησης επικινδυνότητας και το κόστος διενέργειας των αναλύσεων, τα οποία πραγματοποιούνται ετήσια. Για την εκπόνηση της εκτίμησης επικινδυνότητας υπολογίζεται ότι χρειάζονται 4 ώρες από εξειδικευμένο σύμβουλο και η χρέωση υπολογίζεται 20€/ώρα. </t>
  </si>
  <si>
    <t>Για την διενέργεια των αναλύσεων, υπολογίζεται ότι ο κάθε αιτητής θα διενεργεί μία ανάλυση, η οποία κοστολογείται 300€.</t>
  </si>
  <si>
    <t>Για σκοπούς αναγωγής της κοστολόγησης των πιο πάνω δράσεων σε επίπεδο εκταρίου, τόσο για την κοστολόγηση της εκπόνησης των εκτιμήσεων επικινδυνότητας και σχεδίου δράσης, όσο και για τη διενέργεια αναλύσεων, λαμβάνεται υπόψη ο μέσος όρος της έκτασης ανά εκμετάλλευση ο οποίος είναι 1,9 εκτάρια*.</t>
  </si>
  <si>
    <r>
      <t xml:space="preserve">Για την εφαρμογή στοχευμένων αγροπεριβαλλοντικών δράσεων στην καλλιέργεια την εσπεριδοειδών, θα παρέχεται ετήσια ενίσχυση ύψους </t>
    </r>
    <r>
      <rPr>
        <b/>
        <sz val="12"/>
        <color theme="1"/>
        <rFont val="Calibri"/>
        <family val="2"/>
        <charset val="161"/>
        <scheme val="minor"/>
      </rPr>
      <t xml:space="preserve">510 </t>
    </r>
    <r>
      <rPr>
        <sz val="12"/>
        <color theme="1"/>
        <rFont val="Calibri"/>
        <family val="2"/>
        <charset val="161"/>
        <scheme val="minor"/>
      </rPr>
      <t xml:space="preserve">€/εκτάριο, για κάλυψη του πρόσθετου κόστους. Συγκεκριμένα για τη Δράση 1 θα παρέχονται 100€/εκτάριο, ενώ για τη Δράση 2, 410€/εκτάριο. </t>
    </r>
  </si>
  <si>
    <t>(4h x 20€ /1,9)</t>
  </si>
  <si>
    <t>(300€ / 1,9)</t>
  </si>
  <si>
    <t xml:space="preserve">iv. Κόστος αγοράς παγίδων </t>
  </si>
  <si>
    <t>v. Κόστος αγοράς προσελκυστικής ουσίας</t>
  </si>
  <si>
    <t>(3L/εκτ/έτος  x 9,9€/L)</t>
  </si>
  <si>
    <t xml:space="preserve">vi.  Αμοιβή ανθρώπινης εργασίας για τοποθέτηση των παγίδων    </t>
  </si>
  <si>
    <t>(2,5h/εκτ. x 6 φορές/έτος x 6,85€/h)</t>
  </si>
  <si>
    <t>Δράση 2: 410 €/εκτάριο</t>
  </si>
  <si>
    <t>Σύνολο: 510 €/εκτάριο</t>
  </si>
  <si>
    <t xml:space="preserve">Συνολικό κόστος </t>
  </si>
  <si>
    <t>10.1.10: Διαχείριση μελισσοσμηνών με σκοπό τη διατήρηση αρμονικής συνύπαρξης με εντομοφάγα πτηνά</t>
  </si>
  <si>
    <t>Διαχείριση μελισσοσμηνών με σκοπό τη διατήρηση αρμονικής συνύπαρξης με εντομοφάγα πτηνά</t>
  </si>
  <si>
    <r>
      <t>ii.</t>
    </r>
    <r>
      <rPr>
        <sz val="10"/>
        <color theme="1"/>
        <rFont val="Times New Roman"/>
        <family val="1"/>
        <charset val="161"/>
      </rPr>
      <t xml:space="preserve">  </t>
    </r>
    <r>
      <rPr>
        <sz val="10"/>
        <color theme="1"/>
        <rFont val="Arial"/>
        <family val="2"/>
        <charset val="161"/>
      </rPr>
      <t>Πραγματοποίηση εκτίμησης επικινδυνότητας και αναλύσεων για υπολείμματα φυτοπροστατευτικών ουσιών</t>
    </r>
  </si>
  <si>
    <r>
      <t>iii.</t>
    </r>
    <r>
      <rPr>
        <sz val="10"/>
        <color theme="1"/>
        <rFont val="Times New Roman"/>
        <family val="1"/>
        <charset val="161"/>
      </rPr>
      <t xml:space="preserve"> </t>
    </r>
    <r>
      <rPr>
        <sz val="10"/>
        <color theme="1"/>
        <rFont val="Arial"/>
        <family val="2"/>
        <charset val="161"/>
      </rPr>
      <t>Αναλύσεις για υπολείμματα φυτοπροστατευτικών ουσιών</t>
    </r>
  </si>
  <si>
    <r>
      <t>Χρήση παγίδων για μαζική παγίδευση μεσογειακής μύγας:</t>
    </r>
    <r>
      <rPr>
        <sz val="11"/>
        <color theme="1"/>
        <rFont val="Arial"/>
        <family val="2"/>
        <charset val="161"/>
      </rPr>
      <t xml:space="preserve"> Η μαζική παγίδευση εχθρών γίνεται παγίδες πολλαπλής προσέλκυσης (τύπου McPhail, Tephritrap, Ceratrap, κ.α.), με τοποθέτηση τουλάχιστον 50 παγίδων ανά εκτάριο. Για σκοπούς υπολογισμού του κόστους αγοράς των παγίδων, υπολογίζεται ότι, οι παγίδες τύπου McPhail, Tephritrap, Μultilure trap θα αντικατασταθούν τουλάχιστο μια φορά εντός της πενταετίας που διαρκεί το Μέτρο, ενώ οι παγίδες τύπου Ceratrap να αντικαθίστανται κάθε χρόνο. </t>
    </r>
  </si>
  <si>
    <r>
      <t>ii.</t>
    </r>
    <r>
      <rPr>
        <sz val="10"/>
        <color theme="1"/>
        <rFont val="Times New Roman"/>
        <family val="1"/>
        <charset val="161"/>
      </rPr>
      <t xml:space="preserve">  </t>
    </r>
    <r>
      <rPr>
        <sz val="10"/>
        <color theme="1"/>
        <rFont val="Arial"/>
        <family val="2"/>
        <charset val="161"/>
      </rPr>
      <t>Πραγματοποίηση εκτίμησης επικινδυνότητας αναλύσεις για υπολείμματα φυτοπροστατευτικών προϊόντων</t>
    </r>
  </si>
  <si>
    <r>
      <t>iii.</t>
    </r>
    <r>
      <rPr>
        <sz val="10"/>
        <color theme="1"/>
        <rFont val="Times New Roman"/>
        <family val="1"/>
        <charset val="161"/>
      </rPr>
      <t xml:space="preserve"> </t>
    </r>
    <r>
      <rPr>
        <sz val="10"/>
        <color theme="1"/>
        <rFont val="Arial"/>
        <family val="2"/>
        <charset val="161"/>
      </rPr>
      <t>Αναλύσεις για υπολείμματα φυτοπροστατευτικών προϊόντων</t>
    </r>
  </si>
  <si>
    <t>Ύψος της Ενίσχυσης: 510 €/εκτάριο</t>
  </si>
  <si>
    <t>Το ύψος ενίσχυσης στην αμπελοκαλλιέργεια έχει καθοριστεί στα 100 Ευρώ/ εκτάριο για να μπορεί να συνδυάζεται με άλλα καθεστώτα του μέτρου Μ10, χωρίς το συνολικό ύψος ενίσχυσης να υπερβαίνει τα 900 Ευρώ/ εκτάριο όπως προβλέπει ο Κανονισμός (ΕΕ) 1305/2013, Παράρτημα ΙΙ.</t>
  </si>
  <si>
    <r>
      <t xml:space="preserve">Κόστος Ημερομισθίου      (8h x </t>
    </r>
    <r>
      <rPr>
        <b/>
        <sz val="10"/>
        <color theme="1"/>
        <rFont val="Calibri"/>
        <family val="2"/>
      </rPr>
      <t>€</t>
    </r>
    <r>
      <rPr>
        <b/>
        <sz val="10"/>
        <color theme="1"/>
        <rFont val="Calibri"/>
        <family val="2"/>
        <scheme val="minor"/>
      </rPr>
      <t>6.85)</t>
    </r>
  </si>
  <si>
    <t xml:space="preserve"> (* Οι υπολογισμοί γίνονται ανά κυψέλη και μετατρέπονται στο κόστος ανά εκτάριο με βάση την αναλογία 3 κυψέλες / εκτάριο)</t>
  </si>
  <si>
    <r>
      <t xml:space="preserve">(α) </t>
    </r>
    <r>
      <rPr>
        <b/>
        <vertAlign val="superscript"/>
        <sz val="10"/>
        <rFont val="Calibri"/>
        <family val="2"/>
        <scheme val="minor"/>
      </rPr>
      <t>1</t>
    </r>
    <r>
      <rPr>
        <b/>
        <sz val="10"/>
        <rFont val="Calibri"/>
        <family val="2"/>
        <scheme val="minor"/>
      </rPr>
      <t xml:space="preserve"> Διαφυγόν εισόδημα  
€/ ha</t>
    </r>
  </si>
  <si>
    <r>
      <t xml:space="preserve">(β) </t>
    </r>
    <r>
      <rPr>
        <b/>
        <vertAlign val="superscript"/>
        <sz val="10"/>
        <rFont val="Calibri"/>
        <family val="2"/>
        <scheme val="minor"/>
      </rPr>
      <t>2</t>
    </r>
    <r>
      <rPr>
        <b/>
        <sz val="10"/>
        <rFont val="Calibri"/>
        <family val="2"/>
        <scheme val="minor"/>
      </rPr>
      <t xml:space="preserve">  Αυξημένο κόστος παραγωγής</t>
    </r>
  </si>
  <si>
    <r>
      <rPr>
        <vertAlign val="superscript"/>
        <sz val="10"/>
        <rFont val="Calibri"/>
        <family val="2"/>
        <scheme val="minor"/>
      </rPr>
      <t>1</t>
    </r>
    <r>
      <rPr>
        <sz val="10"/>
        <rFont val="Calibri"/>
        <family val="2"/>
        <scheme val="minor"/>
      </rPr>
      <t xml:space="preserve"> Διαφυγόν Εισόδημα = Εισόδημα από Συμβατική Καλλιέργεια – Εισόδημα από Μεταβατική Καλλιέργεια</t>
    </r>
  </si>
  <si>
    <r>
      <rPr>
        <vertAlign val="superscript"/>
        <sz val="10"/>
        <rFont val="Calibri"/>
        <family val="2"/>
        <scheme val="minor"/>
      </rPr>
      <t>2</t>
    </r>
    <r>
      <rPr>
        <sz val="10"/>
        <rFont val="Calibri"/>
        <family val="2"/>
        <scheme val="minor"/>
      </rPr>
      <t xml:space="preserve"> Αυξημένο Κόστος Παραγωγής = Κόστος Παραγωγής Μεταβατικής Καλλιέργειας – Κόστος Παραγωγής Συμβατικής Καλλιέργειας</t>
    </r>
  </si>
  <si>
    <r>
      <rPr>
        <i/>
        <u/>
        <sz val="10"/>
        <rFont val="Calibri"/>
        <family val="2"/>
        <scheme val="minor"/>
      </rPr>
      <t>Σημείωση:</t>
    </r>
    <r>
      <rPr>
        <i/>
        <sz val="10"/>
        <rFont val="Calibri"/>
        <family val="2"/>
        <scheme val="minor"/>
      </rPr>
      <t xml:space="preserve"> στις δαπάνες συμπεριλαμβάνονται η ξένη εργασία, η μηχανική εργασία, οι εισροές, ασφάλιστρα ΟΓΑ, τόκοι κεφαλαίων κ.α.</t>
    </r>
  </si>
  <si>
    <r>
      <t xml:space="preserve">Διαφυγόν εισόδημα </t>
    </r>
    <r>
      <rPr>
        <b/>
        <sz val="10"/>
        <rFont val="Calibri"/>
        <family val="2"/>
      </rPr>
      <t>€</t>
    </r>
    <r>
      <rPr>
        <b/>
        <sz val="10"/>
        <rFont val="Calibri"/>
        <family val="2"/>
        <scheme val="minor"/>
      </rPr>
      <t>/ζώο</t>
    </r>
  </si>
  <si>
    <r>
      <t xml:space="preserve">Σύμφωνα με τις πρόνοιες σχετικού Διατάγματος ο </t>
    </r>
    <r>
      <rPr>
        <b/>
        <sz val="10"/>
        <rFont val="Calibri"/>
        <family val="2"/>
        <scheme val="minor"/>
      </rPr>
      <t xml:space="preserve">μέγιστος επιτρεπόμενος αριθμός αιγοπροβάτων ανά εκτάριο βοσκοτόπου ανέρχεται στα 33 </t>
    </r>
    <r>
      <rPr>
        <sz val="10"/>
        <rFont val="Calibri"/>
        <family val="2"/>
        <scheme val="minor"/>
      </rPr>
      <t xml:space="preserve">(ο αριθμός αυτός χρησιμοποιήθηκε στον πιο πάνω πίνακα). Συνεπώς το ύψος της επιδότησης ανά εκτάριο βοσκοτόπου δεν μπορεί να υπερβαίνει τα 2.500,96 € στην περίπτωση των προβάτων και τα 2.620,2 € στην περίπτωση των αιγών.  Η επιδότηση όμως σύμφωνα με τις πρόνοιες του Παραρτήματος του Κανονισμού 1305/2013 δεν μπορεί να υπερβαίνει τα 450 € το εκτάριο. Σε περίπτωση που ο αριθμός των ζώων ανά εκτάριο είναι μικρότερος από 5,9 πρόβατα ή 5,7 αίγες τότε η επιδότηση θα υπολογίζεται αναλογικά με μέτρο τα 75,8 € ανά πρόβατο και 79,4 € ανά αίγα.  </t>
    </r>
  </si>
  <si>
    <r>
      <t xml:space="preserve">(α) </t>
    </r>
    <r>
      <rPr>
        <b/>
        <vertAlign val="superscript"/>
        <sz val="10"/>
        <rFont val="Calibri"/>
        <family val="2"/>
        <scheme val="minor"/>
      </rPr>
      <t>1</t>
    </r>
    <r>
      <rPr>
        <b/>
        <sz val="10"/>
        <rFont val="Calibri"/>
        <family val="2"/>
        <scheme val="minor"/>
      </rPr>
      <t xml:space="preserve"> Διαφυγόν εισόδημα
(€/ha)</t>
    </r>
  </si>
  <si>
    <r>
      <rPr>
        <vertAlign val="superscript"/>
        <sz val="10"/>
        <rFont val="Calibri"/>
        <family val="2"/>
        <scheme val="minor"/>
      </rPr>
      <t>1</t>
    </r>
    <r>
      <rPr>
        <sz val="10"/>
        <rFont val="Calibri"/>
        <family val="2"/>
        <scheme val="minor"/>
      </rPr>
      <t xml:space="preserve"> Διαφυγόν Εισόδημα = Εισόδημα από Συμβατική Καλλιέργεια – Εισόδημα από Βιολογική Καλλιέργεια</t>
    </r>
  </si>
  <si>
    <r>
      <rPr>
        <vertAlign val="superscript"/>
        <sz val="10"/>
        <rFont val="Calibri"/>
        <family val="2"/>
        <scheme val="minor"/>
      </rPr>
      <t>2</t>
    </r>
    <r>
      <rPr>
        <sz val="10"/>
        <rFont val="Calibri"/>
        <family val="2"/>
        <scheme val="minor"/>
      </rPr>
      <t xml:space="preserve"> Αυξημένο Κόστος Παραγωγής = Κόστος Παραγωγής Βιολογικής Καλλιέργειας – Κόστος Παραγωγής Συμβατικής Καλλιέργειας</t>
    </r>
  </si>
  <si>
    <r>
      <rPr>
        <i/>
        <u/>
        <sz val="10"/>
        <rFont val="Calibri"/>
        <family val="2"/>
        <scheme val="minor"/>
      </rPr>
      <t>Σημείωση</t>
    </r>
    <r>
      <rPr>
        <i/>
        <sz val="10"/>
        <rFont val="Calibri"/>
        <family val="2"/>
        <scheme val="minor"/>
      </rPr>
      <t>: στις δαπάνες συμπεριλαμβάνονται η ξένη εργασία, η μηχανική εργασία, οι εισροές, ασφάλιστρα ΟΓΑ, τόκοι κεφαλαίων κ.α.</t>
    </r>
  </si>
  <si>
    <r>
      <t>Σύμφωνα με τις πρόνοιες σχετικού Διατάγματος</t>
    </r>
    <r>
      <rPr>
        <b/>
        <sz val="10"/>
        <rFont val="Calibri"/>
        <family val="2"/>
        <scheme val="minor"/>
      </rPr>
      <t xml:space="preserve"> ο μέγιστος επιτρεπόμενος αριθμός αιγοπροβάτων ανά εκτάριο βοσκοτόπου ανέρχεται στα 33 </t>
    </r>
    <r>
      <rPr>
        <sz val="10"/>
        <rFont val="Calibri"/>
        <family val="2"/>
        <scheme val="minor"/>
      </rPr>
      <t xml:space="preserve">(ο αριθμός αυτός χρησιμοποιήθηκε στον πιο πάνω πίνακα). Συνεπώς το ύψος της επιδότησης ανά εκτάριο βοσκοτόπου δεν μπορεί να υπερβαίνει τα 2019,6 € στην περίπτωση των προβάτων και τα 2274 στην περίπτωση των αιγών.  Η επιδότηση όμως σύμφωνα με τις πρόνοιες του Παραρτήματος του Κανονισμού 1305/2013 δεν μπορεί να υπερβαίνει τα 450 € το εκτάριο. Σε περίπτωση που ο αριθμός των ζώων ανά εκτάριο είναι μικρότερος από 7,4 πρόβατα ή 6,5 αίγες τότε η επιδότηση θα υπολογίζεται αναλογικά με μέτρο τα 61,2 € ανά πρόβατο και 68,9 € ανά αίγα.  </t>
    </r>
  </si>
  <si>
    <r>
      <t>Επιβάρυνση (</t>
    </r>
    <r>
      <rPr>
        <b/>
        <sz val="10"/>
        <rFont val="Calibri"/>
        <family val="2"/>
      </rPr>
      <t>€/ha)</t>
    </r>
  </si>
  <si>
    <r>
      <t xml:space="preserve">Κόστος μηχανικής εργασίας  με χορτοκοπτικό μηχάνημα 3 hp επί των γραμμών (2 φόρες × 20 hours </t>
    </r>
    <r>
      <rPr>
        <sz val="10"/>
        <rFont val="Calibri"/>
        <family val="2"/>
      </rPr>
      <t>×</t>
    </r>
    <r>
      <rPr>
        <sz val="10"/>
        <rFont val="Calibri"/>
        <family val="2"/>
        <scheme val="minor"/>
      </rPr>
      <t xml:space="preserve"> 0,74 €/hour) *</t>
    </r>
  </si>
  <si>
    <t>Δεν παρέχεται ενίσχυση για την απαγόρευση ψεκασμού για σκοπούς καταπολέμησης επιβλαβών οργανισμών.</t>
  </si>
  <si>
    <r>
      <t xml:space="preserve">Ο συμμετέχων μελισσοκόμος  πρέπει να προβαίνει σε κατάλληλλους μελισσοκομικούς χειρισμούς έτσι ώστε να διατηρεί καθ όλη τη διάρκεια του καθεστώτος τον αρχικό αριθμό μελισσοσμηνών ( που δήλωσε  κατά την ένταξη του στο Καθεστώς) Ειδικότερα υποχρεούται να δημιουργεί νέες παραφυάδες για αντικατάσταση των μελισσοσμηνών που καταρρέουν.  </t>
    </r>
    <r>
      <rPr>
        <b/>
        <sz val="11"/>
        <color theme="1"/>
        <rFont val="Calibri"/>
        <family val="2"/>
        <charset val="161"/>
        <scheme val="minor"/>
      </rPr>
      <t>Το κόστος για αναπλήρωση του πληθυσμού που χάνεται υπολογίζεται σε 6€ / κυψέλη. (3 * 6 € = 18 € / ha)</t>
    </r>
  </si>
  <si>
    <r>
      <t xml:space="preserve">O μέγιστος αριθμός κυψελών που διατηρεί ανά μελισσοκομείο να μην  υπερβαίνει τις 100 κυψέλες (σχηματισμός νέου μελισσκομείου) καθ' όλη τη διάρκεια του έτους και καθ’ όλη τη διάρκεια εφαρμογής του καθεστώτος. 
Για την εφαρμογή της δράσης, αυξάνεται ο αριθμός των επισκέψεων στις οποίες πρέπει να προβεί ο μελισσοκόμος κατά 13.  </t>
    </r>
    <r>
      <rPr>
        <b/>
        <sz val="11"/>
        <color theme="1"/>
        <rFont val="Calibri"/>
        <family val="2"/>
        <charset val="161"/>
        <scheme val="minor"/>
      </rPr>
      <t xml:space="preserve">Ο αιτητής δεν λαμβάνει ενίσχυση για την συγκεκριμένη δράση.
</t>
    </r>
  </si>
  <si>
    <r>
      <t>H ελάχιστη απόσταση μεταξύ μελισσοκομείων του ιδίου αιτητή, να μην είναι μικρότερη των 500 μέτρων, για τη  περίοδο Αυγούστου – Οκτωβρίου κάθε έτους.</t>
    </r>
    <r>
      <rPr>
        <b/>
        <sz val="11"/>
        <color theme="1"/>
        <rFont val="Calibri"/>
        <family val="2"/>
        <charset val="161"/>
        <scheme val="minor"/>
      </rPr>
      <t xml:space="preserve"> Ο αιτητής δεν λαμβάνει ενίσχυση για την συγκεκριμένη δράση.</t>
    </r>
  </si>
  <si>
    <r>
      <t>2) Ο μελισσοκόμος θα πρέπει μα εγκαταστήσει ποτίστρα στο μελισσκομείο, σε απόσταση όχι μεγαλύτερη των 50 μέτρων από το μελισσοκομείο κατά την περίοδο Αυγούστου - Οκτωβρίου.</t>
    </r>
    <r>
      <rPr>
        <b/>
        <sz val="11"/>
        <color theme="1"/>
        <rFont val="Calibri"/>
        <family val="2"/>
        <charset val="161"/>
        <scheme val="minor"/>
      </rPr>
      <t xml:space="preserve"> Αγορά ποτίστρας και εγκατάσταση ποτίστρας, η οποία πρέπει να αποτελείται από: 1. πλαστικό βαρέλι με πώμα χωρητικότας 100 λίτρων ή και μεγαλύτερο, 2. φλοτέρ για τον αυτόματο έλεγχο της ροής νερού και 3. Γούρνα γαλβανιζέ με ελάχιστη επιφάνεια 0,2 m² και ελάχιστο βάθος 10cm. Κόστος αγοράς 90 ευρώ. Τοποθετείται 1 ποτίστρα ανά 100 κυψέλες. (90€ / 5 έτη /100 κυψέλες * 3 κυψέλες το εκτάριο). Η αγορά και εγκατάσταση των ποτίστρων στα πλαίσια του καθεστώτος 10.1.10,  είναι επιλέξιμη στα πλαίσια του Καθεστώτος 4.4.2. του Μέτρου 4.</t>
    </r>
  </si>
  <si>
    <r>
      <t xml:space="preserve">3) Κατά την περίοδο Αυγούστου - Οκτωβρίου, ο μελισσοκόμος θα πρέπει να επισκέπτεται τα μελισσοκομεία τουλάχιστον 1 φορά την εβδομάδα επιπλέον, δηλαδή 13 φορές, πέραν των κανονικών επισκέψεων για να προβαίνει σε:
α) Ελεγχο της λειτουργικής κατάστασης και καθαρισμό της ποτίστρας, β) προσθήκη/αλλαγή  πόσιμου νερού   για τη ρύθμιση της θερμοκρασίας της κυψέλης και την διατήρηση του γόνου. </t>
    </r>
    <r>
      <rPr>
        <b/>
        <sz val="11"/>
        <color theme="1"/>
        <rFont val="Calibri"/>
        <family val="2"/>
        <charset val="161"/>
        <scheme val="minor"/>
      </rPr>
      <t>Κόστος νερού που απαιτείται να τοποθετηθεί για την περίοδο Αυγούστου - Οκτωβρίου. Η περίοδος αυτή χαρακτηρίζεται από υψηλές θερμοκρασίες και επομένως αυξημένες απαιτήσεις σε νερό για τα μελισσοσμήνη το οποίο χρησιμοποιείται για τη ρύθμιση της θερμοκρασίας της κυψέλης και την διατροφή του γόνου. Οι απαιτούμενες ανάγκες σε νερό για την περίοδο ανέρχονται 10 m³ για 100 μελίσσια. Το νερό πρέπει να είναι καλής ποιότητας και ως εκ τούτου συνήθως χρησιμοποιείται νερό ύδρευσης με το κόστος του να ανέρχεται σε 0,85 € / m³. 10 m³ * 0,85 € / m³ = 8,50 €, 8,50 € / 100 * 3 = 0,26 € /ha. Καθαρισμός ποτίστρας, προσθήκη νερού και διατήρηση σε λειτουργική κατάσταση (Η περίοδος που πρέπει να διατηρεί την ποτίστρα για σκοπούς του μέτρου αφορά τους μήνες Αύγουστο, Σεπτέμβριο και Οκτώβριο. Θα πρέπει να επισκέπτεται τα μελισσοκομεία τουλάχιστον 1 φορά την εβδομάδα, δηλαδή 13 φορές, πέραν των κανονικών επισκέψεων. Ο χρόνος ανά επίσκεψη που χρειάζεται για την προσθήκη νερού, καθαρισμό και έλεγχο της ποτίστρας ανέρχεται σε 40 λεπτά. (13 * 40 λεπτα = 520 λεπτά ή 8,66 ώρες. 8,66 ώρες * 6,85 € / ώρα = € 59,37, 59,37 € / 100 κυψέλες * 3 κυψέλες = 1,78 € / ha). Για την εφαρμογή της δράσης, αυξάνεται ο αριθμός των επισκέψεων στις οποίες πρέπει να προβεί ο μελισσοκόμος σε 13. Με βάση την έρευνα για την ετοιμασία ενδεικτικών τιμών η απόσταση που διανύει ο μελισσοκόμος τους μήνες Αύγουστο και Σεπτέμβριο είναι 91 Km / επίσκεψη και τον Οκτώμβριο 60 Km. Για τις 13 επισκέψεις θα διανύσει συνολικά 1059 Km (9 επισκέψεις * 91 Km + 4 επισκέψεις * 60 Km). Ο χρόνος που απαιτείται εάν θεωρήσουμε ώς μέση ταχύτητα κίνησης τα 60 Km / h είναι 17,65 ώρες. Επιπρόσθετο κόστος εργασίας 17,65 ώρες * 6,85 € / ώρα = 120,90 €, 120,9 € / 100 κυψέλες * 3 κυψέλες = € 3,63 / ha</t>
    </r>
    <r>
      <rPr>
        <sz val="11"/>
        <color theme="1"/>
        <rFont val="Calibri"/>
        <family val="2"/>
        <scheme val="minor"/>
      </rPr>
      <t xml:space="preserve">
</t>
    </r>
  </si>
  <si>
    <r>
      <t xml:space="preserve">Τήρηση αρχείου μελισσοκόμου όπου θα αναφέρονται οι σχετικές με το καθεστώς, δραστηριότητες του μελισσοκόμου. </t>
    </r>
    <r>
      <rPr>
        <b/>
        <sz val="11"/>
        <color theme="1"/>
        <rFont val="Calibri"/>
        <family val="2"/>
        <charset val="161"/>
        <scheme val="minor"/>
      </rPr>
      <t>Ο αιτητής δεν λαμβάνει ενίσχυση για την συγκεκριμένη δράση.</t>
    </r>
  </si>
  <si>
    <t xml:space="preserve">Κόστος αγοράς ζιζανιοκτόνων </t>
  </si>
  <si>
    <t>Αμοιβή ανθρώπινης εργασίας για την εφαρμογή των ζιζανιοκτόνων (19 hours × 6,85 €/hour)</t>
  </si>
  <si>
    <t>10.1.11 Περιβαλλοντικές δράσεις σε γεωργικούς τύπους χρήσης γης, οι οποίοι χαρακτηρίζονται ως Υψηλής Φυσικής Αξίας για την Κύπρο</t>
  </si>
  <si>
    <t>Αρόσιμες Καλλιέργειες</t>
  </si>
  <si>
    <t>Παραμονή ασυγκόμιστης παραγωγής σε ποσοστό 15%</t>
  </si>
  <si>
    <t xml:space="preserve">Καλλιέργεια </t>
  </si>
  <si>
    <t>Ακαθάριστη Πρόσοδος (€/ha)</t>
  </si>
  <si>
    <t xml:space="preserve">Κριθάρι για σανό </t>
  </si>
  <si>
    <t>Δεματοποίηση σανού</t>
  </si>
  <si>
    <t>Ακάθάριστη Πρόσοδος μείον κόστος παλαρίσματος</t>
  </si>
  <si>
    <t>Απώλεια εισοδήματος για διατήρηση λωρίδας 3% της συνολικής έκτασης</t>
  </si>
  <si>
    <t>Έσοδα μείον το κόστος συγκομιδής</t>
  </si>
  <si>
    <t>Κόστος σποράς του 3% με ψυχανθή</t>
  </si>
  <si>
    <t>Συνολικό κόστος για το Β</t>
  </si>
  <si>
    <t>Συνολικό κόστος ανά έτος (Α+Β)</t>
  </si>
  <si>
    <t>Το ύψος ενίσχυσης για τους σκοπούς του μέτρου ανέρχεται στα €110 /ha</t>
  </si>
  <si>
    <t>Δεν υπάρχει κανένας κίνδυνος για διπλή χρηματοδότηση σχετικά με το πρασίνισμα, καθώς ο αιτητής υποχρεούται να τηρήσει τις υποχρεώσεις του πρασινίσματος στα πλαίσια του Πυλώνα Ι. Η συγκεκριμένη δράση δεν θεωρείται ως ισοδύναμη πρακτική.</t>
  </si>
  <si>
    <t>Δενδρώδεις - Πολυετείς καλλιέργειες</t>
  </si>
  <si>
    <t>Αποκλεισμός της χρήσης Χημικών Ζιζανιοκτόνων στην Καλλιέργεια της χαρουπιάς, αμυγδαλιάς και φουντουκιάς</t>
  </si>
  <si>
    <t>Αγορά, μεταφορά και εφαρμογή κόμποστ</t>
  </si>
  <si>
    <t>Αγορά υλικού (30€/m3 x 12m3/ha)</t>
  </si>
  <si>
    <t xml:space="preserve">Αμοιβή ανθρώπινης εργασίας για την εφαρμογή του υλικού (16h/ ha x 6,85€/ ha)  </t>
  </si>
  <si>
    <t>Σύνολο (i + ii)</t>
  </si>
  <si>
    <t>Ύψος της Ενίσχυσης= 440,00 €/ha</t>
  </si>
  <si>
    <t>Οινοποιήσιμα  €/ha</t>
  </si>
  <si>
    <t>Επιτραπέζια €/ha</t>
  </si>
  <si>
    <t xml:space="preserve">Συνολικό ύψος οικονομικής ενίσυχης </t>
  </si>
  <si>
    <t>10.1.11</t>
  </si>
  <si>
    <t>10.1.12</t>
  </si>
  <si>
    <t>Περιβαλλοντικές δράσεις σε γεωργικούς τύπους χρήσης γης, οι οποίοι χαρακτηρίζονται ως Υψηλής Φυσικής Αξίας για την Κύπρο</t>
  </si>
  <si>
    <t>10.1.13 Εφαρμογή πυροπροστατευτικών χειρισμών σε παραδασόβιες εκτάσεις καλλιεργούμενες με σιτηρά</t>
  </si>
  <si>
    <t>Επιπλέον καλλιέργεια μετά τη συγκομιδή</t>
  </si>
  <si>
    <r>
      <t>Κόστος (</t>
    </r>
    <r>
      <rPr>
        <b/>
        <sz val="11"/>
        <color theme="1"/>
        <rFont val="Calibri"/>
        <family val="2"/>
        <charset val="161"/>
      </rPr>
      <t>€</t>
    </r>
    <r>
      <rPr>
        <b/>
        <sz val="11"/>
        <color theme="1"/>
        <rFont val="Calibri"/>
        <family val="2"/>
      </rPr>
      <t>/ha)</t>
    </r>
  </si>
  <si>
    <t>Κόστος χρήσης μηχανικού ελκυστήρα 47 hp (5 hours  X 4,50 €/hour)</t>
  </si>
  <si>
    <t>Αμοιβή ανθρώπινης εργασίας για την χρήση μηχανοκινήτου ελκυστήρα 47 hp (5 hours/ ha × 6,85 €/hour)</t>
  </si>
  <si>
    <t>Σύνολο</t>
  </si>
  <si>
    <t>Το ύψος ενίσχυσης για τους σκοπούς του μέτρου ανέρχεται στα €54 /ha</t>
  </si>
  <si>
    <t>Εφαρμογή πυροπροστατευτικών χειρισμών σε παραδασόβιες εκτάσεις καλλιεργούμενες με σιτηρά</t>
  </si>
  <si>
    <t>Εθελοντικό Πρόγραμμα Ολοκληρωμένης Διαχείρισης Εχθρών και Ασθενειών στα Οινοποιήσιμα και Επιτραπέζια Αμπέλια</t>
  </si>
  <si>
    <t xml:space="preserve"> </t>
  </si>
  <si>
    <t xml:space="preserve">Κόστος παραμονής ασυγκόμιστης παραγωγής σε ποσοστό 15%  </t>
  </si>
  <si>
    <t>10.1.13</t>
  </si>
  <si>
    <t>11.1</t>
  </si>
  <si>
    <t>11.2</t>
  </si>
  <si>
    <t xml:space="preserve">Ο αμπελουργός υποχρεούται, εντός του πρώτου έτους από την ένταξη του στο Καθεστώς, να προβεί σε εργαστηριακό ιολογικό έλεγχο του αμπελώνα για να έχει επίγνωση της ιολογικής κατάστασης της φυτείας. Θα πρέπει να ελέγχονται 100 πρεμνά ανά εκτάριο για τις ιώσεις Grapevine Leafroll Virus Strain 1 (GLRV-1) και 3 (GLRV-3).
Τα τέλη πραγματοποίησης της ανάλυσης από το εργαστήριο του Τμήματος Γεωργίας για τις δύο πιο πάνω ιώσεις είναι €74 ανά 45 δείγματα (πρέμνα στην προκυμένη περίπτωση). Στο εκτάριο θα ελέγχονται εργαστηριακά 100 πρέμνα και το πραματικό κόστος των εξετάσεων θα είναι €164,44.  Στα πλαίσια του καθεστώτος θα παρέχεται οικονομική ενίσχυση €32 /ha ανά έτος (πενταετής υποχρέωση) για κάλυψη μέρους του εν λόγω κόστους στον συμμετέχων σε αυτή τη δράση.                                                                                           
</t>
  </si>
  <si>
    <t xml:space="preserve">Ο συμμετέχων πρέπει να χρησιμοποιεί κατάλληλα μέσα παρεμπόδισης σύζευξης / γενετήσιας σύγχυσης (mating disruption) σύμφωνα με την περιγραφή που ακολουθεί, για να διατηρεί του πληθυσμούς της ευδεμίδας σε χαμηλά επίπεδα, καθ’ όλη τη διάρκεια της καλλιεργητικής περιόδου.  Τα προαναφερόμενα μέσα θα τοποθετούνται εντός  του αμπελώνα από την έναρξη της άνθησης (αρχές Μαρτίου) μέχρι την ολοκλήρωση της συγκομιδής. Ο ελάχιστος αριθμός των παγίδων ανά εκτάριο πρέπει να είναι 500, καθ’ όλη τη διάρκεια του πιο πάνω διαστήματος. Το κόστος αγοράς των φερομονικών παγίδων παρεμπόδισης της σύζευξης εκτιμάται στα €125 ανά 500 τεμάχια και θα τοποθετούνται 500 για κάθε εκτάριο αμπελώνα. Ο συμμετέχων θα λαμβάνει οικιονομική ενίσχυση €125 ανά εκτάριο. 
</t>
  </si>
  <si>
    <t>Μέγιστος επιτρεπτός αριθμός εφαρμογών φυτοπροστατευτικών προϊόντων: Ο μέγιστος επιτρεπόμενος αριθμός εφαρμογών με συμβατικά φυτοπροστατευτικά προϊόντα και θειάφι επίπασης είναι 6 και 4 για τις επιτραπέζιες και οινοποιήσιμες ποικιλίες, αντίστοιχα, καθ’ όλη τη διάρκεια της καλλιεργητικής περιόδου. Επισημαίνεται ότι ο περιορισμός αυτός δεν ισχύει για φυτοπροστατευτικά προϊόντα που επιτρέπονται να χρησιμοποιηθούν στη βιολογική γεωργία, εκτός από το θειάφι επίπασης.  Με τη δράση αυτή μειώνεται σημαντικά η χρήση των γεωργικών φαρμάκων και ενθαρρύνεται η αξιοποίηση και άλλων τακτικών, πρακτικών και μεθόδων φυτοπροστασίας με οικολογικό προσανατολισμό. Το ύψος ενίσχυσης για εφαρμογή της δράσης ανέρχεται στα €168 ανά εκτάριο για οινοποιήσιμες ποικιλίες και €408 ανά εκτάριο για επιτραπέζιες ποικιλίες. 
Οινοποιήσιμα αμπέλια: Εκτιμάται ότι από την εφαρμογή της συγκεκριμένης δράσης θα επέλθει 10% μείωση της απόδοσης παραγωγής. Η παραγωγή ανά εκτάριο υπολογίζεται στους 12 τόνους και η τιμή παραγωγού στα €273 ανά τόνο και ως εκ τούτου η παραγωγική αξία υπολογίζεται να φθάνει €3.276 ανά εκτάριο. Ως εκ τούτου, το διαφυγόν εισόδημα ίσο με 10% απώλεια στην παραγωγική αξία ανά εκτάριο υπολογίζεται στα €327 ανά εκτάριο.                                                                                                    Επιτραπέζια αμπέλια: Εκτιμάται ότι από την εφαρμογή της συγκεκριμένης δράσης θα επέλθει 10% μείωση της συνολικής παραγωγής. Η παραγωγή ανά εκτάριο υπολογίζεται στους 20 τόνους και η τιμή παραγωγού στα €390 ανά τόνο και ως εκ τούτου η παραγωγική αξία υπολογίζεται να φθάνει €7.800. Ως εκ τούτου, το διαφυγόν εισόδημα ίσο με 10% απώλεια στην παραγωγική αξία ανά εκτάριο υπολογίζεται στα €780 ανά εκτάριο.     Στα πλαίσια εφαρμογής της δρασής, το ύψος ενίσχυσης ανέρχεται στα:</t>
  </si>
  <si>
    <t>Γ. Διαχείριση της βλάστησης σε φυσικούς βοσκότοπους εντός των περιοχών Υψηλής Φυσικής Αξίας</t>
  </si>
  <si>
    <t>Σύμφωνα με τους πιο πάνω υπολογισμούς οι κτηνοτρόφοι οι οποίοι έχουν τις εκμεταλλεύσεις τους στις περιοχές Υψηλής Φυσικής Αξίας, θα έχουν απώλεια εισοδήματος που προκύπτει από την εφαρμογή της δράσης. Η απώλεια ανέρχεται στα €312 ανά εκτάριο ετησίως (1,3 kg x 120 ημέρ. x 0,10 τιμή σανού x 2 ζώα) για να μη βόσκουν τα ζώα από 15 Φεβρουαρίου μέχρι 15 Ιουνίου κάθε έτους.</t>
  </si>
  <si>
    <t xml:space="preserve">Το διαφυγόν εισόδημα έχει υπολογιστεί ως η αξία των ζωοτροφών (χονδροειδης τροφή) για τέσσερις μήνες (120 ημέρες) που θα είναι σταβλισμένα τα ζώα.  </t>
  </si>
  <si>
    <t>Το ύψος ενίσχυσης για σκοπούς εφαρμογής του μέτρου ανέρχεται στα € 290/ ha</t>
  </si>
  <si>
    <t xml:space="preserve">Αριθμός αιγοπροβάτων ανά εκτάριο βοσκοτόπου </t>
  </si>
  <si>
    <t xml:space="preserve">Αριθμός αγελάδων ανά εκτάριο βοσκοτόπου </t>
  </si>
  <si>
    <t>Σύμφωνα με τα στοιχεία της Eurostat (Livestock unit coefficients), μία μονάδα ζωικού κεφαλαίου αντιστοιχεί σε μία αγελάδα ή δέκα αιγοπρόβατα.</t>
  </si>
  <si>
    <t>Συνολικό κόστος/ ha/ έτος (€)</t>
  </si>
  <si>
    <r>
      <t>Επιβάρυνση (</t>
    </r>
    <r>
      <rPr>
        <sz val="11"/>
        <color theme="1"/>
        <rFont val="Calibri"/>
        <family val="2"/>
      </rPr>
      <t>€/ha)</t>
    </r>
  </si>
  <si>
    <t>Ελαιώνες με διάσπαρτα δένδρα (με πυκνότητα πάνω απο 40 δένδρα ανά εκτάριο)  θα λαμβάνουν  το ίδιο ποσό ενίσχυσης ανα εκτάριο, δεδομένου ότι οι υποχρεώσεις του Καθεστώτος θα πρέπει να τηρούνται σε όλη την έκταση των αγροτεμαχίων  με τα διάσπαρτα δέντρα.</t>
  </si>
  <si>
    <t>Οι καλλιέργειες παραδοσιακού τοπίου με διάσπαρτα δένδρα (με πυκνότητα πάνω απο 40 δένδρα ανά εκτάριο)  θα λαμβάνουν το ίδιο ποσό ενίσχυσης ανα εκτάριο, δεδομένου ότι οι υποχρεώσεις του Καθεστώτος θα πρέπει να τηρούνται σε όλη την έκταση των αγροτεμαχίων  με τα διάσπαρτα δέντρα.</t>
  </si>
</sst>
</file>

<file path=xl/styles.xml><?xml version="1.0" encoding="utf-8"?>
<styleSheet xmlns="http://schemas.openxmlformats.org/spreadsheetml/2006/main">
  <numFmts count="4">
    <numFmt numFmtId="164" formatCode="&quot;€&quot;#,##0;[Red]\-&quot;€&quot;#,##0"/>
    <numFmt numFmtId="165" formatCode="_-* #,##0.00_-;\-* #,##0.00_-;_-* &quot;-&quot;??_-;_-@_-"/>
    <numFmt numFmtId="166" formatCode="0.0"/>
    <numFmt numFmtId="167" formatCode="[$€-2]\ #,##0.00;[Red]\-[$€-2]\ #,##0.00"/>
  </numFmts>
  <fonts count="66">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charset val="161"/>
      <scheme val="minor"/>
    </font>
    <font>
      <sz val="11"/>
      <color rgb="FFFF0000"/>
      <name val="Calibri"/>
      <family val="2"/>
      <scheme val="minor"/>
    </font>
    <font>
      <b/>
      <sz val="11"/>
      <color theme="1"/>
      <name val="Calibri"/>
      <family val="2"/>
      <scheme val="minor"/>
    </font>
    <font>
      <b/>
      <sz val="11"/>
      <color theme="1"/>
      <name val="Calibri"/>
      <family val="2"/>
    </font>
    <font>
      <sz val="11"/>
      <color rgb="FF006100"/>
      <name val="Calibri"/>
      <family val="2"/>
      <scheme val="minor"/>
    </font>
    <font>
      <sz val="11"/>
      <color rgb="FF9C0006"/>
      <name val="Calibri"/>
      <family val="2"/>
      <scheme val="minor"/>
    </font>
    <font>
      <vertAlign val="superscript"/>
      <sz val="11"/>
      <color theme="1"/>
      <name val="Calibri"/>
      <family val="2"/>
      <scheme val="minor"/>
    </font>
    <font>
      <u/>
      <sz val="11"/>
      <color theme="10"/>
      <name val="Calibri"/>
      <family val="2"/>
      <scheme val="minor"/>
    </font>
    <font>
      <sz val="11"/>
      <color theme="1"/>
      <name val="Calibri"/>
      <family val="2"/>
      <scheme val="minor"/>
    </font>
    <font>
      <sz val="11"/>
      <name val="Calibri"/>
      <family val="2"/>
      <scheme val="minor"/>
    </font>
    <font>
      <sz val="9"/>
      <color indexed="8"/>
      <name val="»οξτΫςξα"/>
      <charset val="161"/>
    </font>
    <font>
      <sz val="10"/>
      <name val="Arial"/>
      <family val="2"/>
      <charset val="161"/>
    </font>
    <font>
      <sz val="9"/>
      <color indexed="8"/>
      <name val="Μοντέρνα"/>
      <charset val="161"/>
    </font>
    <font>
      <b/>
      <sz val="11"/>
      <name val="Calibri"/>
      <family val="2"/>
      <scheme val="minor"/>
    </font>
    <font>
      <sz val="11"/>
      <name val="Calibri"/>
      <family val="2"/>
    </font>
    <font>
      <sz val="10"/>
      <name val="Arial"/>
      <family val="2"/>
    </font>
    <font>
      <b/>
      <sz val="11"/>
      <color theme="1"/>
      <name val="Calibri"/>
      <family val="2"/>
      <charset val="161"/>
      <scheme val="minor"/>
    </font>
    <font>
      <b/>
      <sz val="11"/>
      <name val="Calibri"/>
      <family val="2"/>
    </font>
    <font>
      <sz val="11"/>
      <color rgb="FF000000"/>
      <name val="Calibri"/>
      <family val="2"/>
      <charset val="161"/>
      <scheme val="minor"/>
    </font>
    <font>
      <b/>
      <sz val="11"/>
      <color rgb="FF000000"/>
      <name val="Calibri"/>
      <family val="2"/>
      <charset val="161"/>
      <scheme val="minor"/>
    </font>
    <font>
      <b/>
      <sz val="11"/>
      <color rgb="FF000000"/>
      <name val="Calibri"/>
      <family val="2"/>
      <scheme val="minor"/>
    </font>
    <font>
      <sz val="12"/>
      <color theme="1"/>
      <name val="Times New Roman"/>
      <family val="1"/>
      <charset val="161"/>
    </font>
    <font>
      <b/>
      <sz val="12"/>
      <color theme="1"/>
      <name val="Arial"/>
      <family val="2"/>
      <charset val="161"/>
    </font>
    <font>
      <sz val="12"/>
      <color theme="1"/>
      <name val="Arial"/>
      <family val="2"/>
      <charset val="161"/>
    </font>
    <font>
      <b/>
      <sz val="12"/>
      <color theme="1"/>
      <name val="Calibri"/>
      <family val="2"/>
      <charset val="161"/>
      <scheme val="minor"/>
    </font>
    <font>
      <sz val="12"/>
      <color theme="1"/>
      <name val="Calibri"/>
      <family val="2"/>
      <charset val="161"/>
      <scheme val="minor"/>
    </font>
    <font>
      <b/>
      <sz val="10"/>
      <color theme="1"/>
      <name val="Calibri"/>
      <family val="2"/>
      <charset val="161"/>
      <scheme val="minor"/>
    </font>
    <font>
      <sz val="10"/>
      <color theme="1"/>
      <name val="Calibri"/>
      <family val="2"/>
      <charset val="161"/>
      <scheme val="minor"/>
    </font>
    <font>
      <b/>
      <sz val="10"/>
      <color theme="1"/>
      <name val="Arial"/>
      <family val="2"/>
      <charset val="161"/>
    </font>
    <font>
      <sz val="10"/>
      <color theme="1"/>
      <name val="Arial"/>
      <family val="2"/>
      <charset val="161"/>
    </font>
    <font>
      <sz val="10"/>
      <color theme="1"/>
      <name val="Times New Roman"/>
      <family val="1"/>
      <charset val="161"/>
    </font>
    <font>
      <sz val="10"/>
      <color theme="1"/>
      <name val="Calibri"/>
      <family val="2"/>
      <scheme val="minor"/>
    </font>
    <font>
      <sz val="11"/>
      <color theme="1"/>
      <name val="Arial"/>
      <family val="2"/>
      <charset val="161"/>
    </font>
    <font>
      <b/>
      <sz val="10"/>
      <color theme="1"/>
      <name val="Calibri"/>
      <family val="2"/>
      <scheme val="minor"/>
    </font>
    <font>
      <b/>
      <sz val="10"/>
      <color theme="1"/>
      <name val="Calibri"/>
      <family val="2"/>
    </font>
    <font>
      <b/>
      <sz val="10"/>
      <name val="Calibri"/>
      <family val="2"/>
      <scheme val="minor"/>
    </font>
    <font>
      <sz val="10"/>
      <name val="Calibri"/>
      <family val="2"/>
      <scheme val="minor"/>
    </font>
    <font>
      <u/>
      <sz val="10"/>
      <name val="Calibri"/>
      <family val="2"/>
      <scheme val="minor"/>
    </font>
    <font>
      <b/>
      <vertAlign val="superscript"/>
      <sz val="10"/>
      <name val="Calibri"/>
      <family val="2"/>
      <scheme val="minor"/>
    </font>
    <font>
      <vertAlign val="superscript"/>
      <sz val="10"/>
      <name val="Calibri"/>
      <family val="2"/>
      <scheme val="minor"/>
    </font>
    <font>
      <i/>
      <sz val="10"/>
      <name val="Calibri"/>
      <family val="2"/>
      <scheme val="minor"/>
    </font>
    <font>
      <i/>
      <u/>
      <sz val="10"/>
      <name val="Calibri"/>
      <family val="2"/>
      <scheme val="minor"/>
    </font>
    <font>
      <b/>
      <sz val="10"/>
      <name val="Calibri"/>
      <family val="2"/>
    </font>
    <font>
      <sz val="10"/>
      <color rgb="FFFF0000"/>
      <name val="Calibri"/>
      <family val="2"/>
      <charset val="161"/>
      <scheme val="minor"/>
    </font>
    <font>
      <sz val="10"/>
      <name val="Calibri"/>
      <family val="2"/>
    </font>
    <font>
      <b/>
      <sz val="11"/>
      <color theme="1"/>
      <name val="Calibri"/>
      <family val="2"/>
      <charset val="161"/>
    </font>
    <font>
      <b/>
      <sz val="10"/>
      <color theme="1"/>
      <name val="Calibri"/>
      <family val="2"/>
      <scheme val="minor"/>
    </font>
    <font>
      <sz val="11"/>
      <color theme="1"/>
      <name val="Calibri"/>
      <family val="2"/>
      <scheme val="minor"/>
    </font>
    <font>
      <sz val="10"/>
      <color theme="1"/>
      <name val="Calibri"/>
      <family val="2"/>
      <scheme val="minor"/>
    </font>
    <font>
      <sz val="10"/>
      <color theme="1"/>
      <name val="Calibri"/>
      <family val="2"/>
      <charset val="161"/>
      <scheme val="minor"/>
    </font>
    <font>
      <sz val="12"/>
      <color theme="1"/>
      <name val="Times New Roman"/>
      <family val="1"/>
      <charset val="161"/>
    </font>
    <font>
      <sz val="11"/>
      <color theme="1"/>
      <name val="Calibri"/>
      <family val="2"/>
      <scheme val="minor"/>
    </font>
    <font>
      <b/>
      <sz val="11"/>
      <color theme="1"/>
      <name val="Calibri"/>
      <family val="2"/>
      <charset val="161"/>
      <scheme val="minor"/>
    </font>
    <font>
      <sz val="11"/>
      <color rgb="FFFF0000"/>
      <name val="Calibri"/>
      <family val="2"/>
      <scheme val="minor"/>
    </font>
    <font>
      <b/>
      <sz val="11"/>
      <color theme="1"/>
      <name val="Calibri"/>
      <family val="2"/>
      <scheme val="minor"/>
    </font>
    <font>
      <sz val="11"/>
      <color theme="1"/>
      <name val="Calibri"/>
      <family val="2"/>
      <charset val="161"/>
    </font>
    <font>
      <b/>
      <sz val="11"/>
      <name val="Calibri"/>
      <family val="2"/>
      <scheme val="minor"/>
    </font>
    <font>
      <sz val="11"/>
      <name val="Calibri"/>
      <family val="2"/>
      <scheme val="minor"/>
    </font>
    <font>
      <sz val="11"/>
      <color theme="1"/>
      <name val="Calibri"/>
      <family val="2"/>
    </font>
    <font>
      <b/>
      <sz val="11"/>
      <name val="Calibri"/>
      <family val="2"/>
    </font>
    <font>
      <sz val="11"/>
      <name val="Calibri"/>
      <family val="2"/>
    </font>
    <font>
      <b/>
      <sz val="12"/>
      <color theme="1"/>
      <name val="Times New Roman"/>
      <family val="1"/>
      <charset val="161"/>
    </font>
    <font>
      <b/>
      <sz val="12"/>
      <color theme="6" tint="-0.499984740745262"/>
      <name val="Times New Roman"/>
      <family val="1"/>
    </font>
  </fonts>
  <fills count="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s>
  <borders count="31">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diagonal/>
    </border>
    <border>
      <left/>
      <right/>
      <top style="hair">
        <color indexed="64"/>
      </top>
      <bottom style="hair">
        <color indexed="64"/>
      </bottom>
      <diagonal/>
    </border>
    <border>
      <left/>
      <right/>
      <top/>
      <bottom style="hair">
        <color indexed="64"/>
      </bottom>
      <diagonal/>
    </border>
    <border>
      <left style="hair">
        <color indexed="64"/>
      </left>
      <right style="hair">
        <color indexed="64"/>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hair">
        <color indexed="64"/>
      </top>
      <bottom style="medium">
        <color indexed="64"/>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style="hair">
        <color indexed="64"/>
      </bottom>
      <diagonal/>
    </border>
  </borders>
  <cellStyleXfs count="13">
    <xf numFmtId="0" fontId="0" fillId="0" borderId="0"/>
    <xf numFmtId="0" fontId="7" fillId="3" borderId="0" applyNumberFormat="0" applyBorder="0" applyAlignment="0" applyProtection="0"/>
    <xf numFmtId="0" fontId="8" fillId="4" borderId="0" applyNumberFormat="0" applyBorder="0" applyAlignment="0" applyProtection="0"/>
    <xf numFmtId="0" fontId="10" fillId="0" borderId="0" applyNumberForma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0" fontId="13" fillId="0" borderId="0"/>
    <xf numFmtId="0" fontId="14" fillId="0" borderId="0"/>
    <xf numFmtId="0" fontId="15" fillId="0" borderId="0"/>
    <xf numFmtId="0" fontId="14" fillId="0" borderId="0"/>
    <xf numFmtId="0" fontId="18" fillId="0" borderId="0"/>
    <xf numFmtId="165" fontId="11" fillId="0" borderId="0" applyFont="0" applyFill="0" applyBorder="0" applyAlignment="0" applyProtection="0"/>
  </cellStyleXfs>
  <cellXfs count="443">
    <xf numFmtId="0" fontId="0" fillId="0" borderId="0" xfId="0"/>
    <xf numFmtId="0" fontId="0" fillId="2" borderId="0" xfId="0" applyFill="1"/>
    <xf numFmtId="0" fontId="5" fillId="2" borderId="0" xfId="0" applyFont="1" applyFill="1"/>
    <xf numFmtId="0" fontId="0" fillId="2" borderId="1" xfId="0" applyFill="1" applyBorder="1" applyAlignment="1">
      <alignment wrapText="1"/>
    </xf>
    <xf numFmtId="0" fontId="0" fillId="2" borderId="1" xfId="0" applyFill="1" applyBorder="1"/>
    <xf numFmtId="0" fontId="5" fillId="2" borderId="1" xfId="0" applyFont="1" applyFill="1" applyBorder="1"/>
    <xf numFmtId="0" fontId="5" fillId="2" borderId="1" xfId="0" applyFont="1" applyFill="1" applyBorder="1" applyAlignment="1">
      <alignment horizontal="center" vertical="center"/>
    </xf>
    <xf numFmtId="0" fontId="5" fillId="2" borderId="1" xfId="0" applyFont="1" applyFill="1" applyBorder="1" applyAlignment="1">
      <alignment wrapText="1"/>
    </xf>
    <xf numFmtId="0" fontId="0" fillId="2" borderId="1" xfId="0" applyFont="1" applyFill="1" applyBorder="1"/>
    <xf numFmtId="0" fontId="0" fillId="2" borderId="1" xfId="0" applyFill="1" applyBorder="1" applyAlignment="1">
      <alignment horizontal="right" vertical="center"/>
    </xf>
    <xf numFmtId="164" fontId="5" fillId="2" borderId="1" xfId="0" applyNumberFormat="1" applyFont="1" applyFill="1" applyBorder="1" applyAlignment="1">
      <alignment horizontal="right" vertical="center"/>
    </xf>
    <xf numFmtId="164" fontId="0" fillId="2" borderId="1" xfId="0" applyNumberFormat="1" applyFill="1" applyBorder="1" applyAlignment="1">
      <alignment horizontal="right" vertical="center"/>
    </xf>
    <xf numFmtId="0" fontId="5" fillId="2" borderId="1" xfId="0" applyFont="1" applyFill="1" applyBorder="1" applyAlignment="1">
      <alignment horizontal="right"/>
    </xf>
    <xf numFmtId="0" fontId="0" fillId="0" borderId="1" xfId="0" applyBorder="1" applyAlignment="1">
      <alignment vertical="center"/>
    </xf>
    <xf numFmtId="3" fontId="0" fillId="0" borderId="1" xfId="0" applyNumberFormat="1" applyBorder="1" applyAlignment="1">
      <alignment vertical="center"/>
    </xf>
    <xf numFmtId="3" fontId="0" fillId="2" borderId="0" xfId="0" applyNumberFormat="1" applyFill="1"/>
    <xf numFmtId="3" fontId="5" fillId="0" borderId="1" xfId="0" applyNumberFormat="1" applyFont="1" applyBorder="1" applyAlignment="1">
      <alignment vertical="center"/>
    </xf>
    <xf numFmtId="0" fontId="0" fillId="2" borderId="0" xfId="0" applyFill="1" applyBorder="1"/>
    <xf numFmtId="0" fontId="0" fillId="2" borderId="0" xfId="0" applyFill="1" applyBorder="1" applyAlignment="1">
      <alignment vertical="center"/>
    </xf>
    <xf numFmtId="0" fontId="0"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0" fillId="2" borderId="0" xfId="0" applyFill="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wrapText="1"/>
    </xf>
    <xf numFmtId="0" fontId="16" fillId="2" borderId="1" xfId="0" applyFont="1" applyFill="1" applyBorder="1"/>
    <xf numFmtId="0" fontId="16" fillId="2" borderId="1" xfId="0" applyFont="1" applyFill="1" applyBorder="1" applyAlignment="1">
      <alignment horizontal="center" vertical="center"/>
    </xf>
    <xf numFmtId="0" fontId="12" fillId="2" borderId="1" xfId="2" applyFont="1" applyFill="1" applyBorder="1" applyAlignment="1">
      <alignment horizontal="right" vertical="center"/>
    </xf>
    <xf numFmtId="0" fontId="4" fillId="2" borderId="0" xfId="0" applyFont="1" applyFill="1"/>
    <xf numFmtId="0" fontId="4" fillId="0" borderId="0" xfId="0" applyFont="1"/>
    <xf numFmtId="2" fontId="0" fillId="2" borderId="1" xfId="0" applyNumberFormat="1" applyFill="1" applyBorder="1" applyAlignment="1">
      <alignment horizontal="center" vertical="center"/>
    </xf>
    <xf numFmtId="164" fontId="16" fillId="2" borderId="1" xfId="0" applyNumberFormat="1" applyFont="1" applyFill="1" applyBorder="1" applyAlignment="1">
      <alignment horizontal="right" vertical="center"/>
    </xf>
    <xf numFmtId="0" fontId="5" fillId="2" borderId="1" xfId="0" applyFont="1" applyFill="1" applyBorder="1" applyAlignment="1">
      <alignment horizontal="center" vertical="center"/>
    </xf>
    <xf numFmtId="2" fontId="0" fillId="2" borderId="1" xfId="0" applyNumberFormat="1" applyFill="1" applyBorder="1" applyAlignment="1">
      <alignment horizontal="center"/>
    </xf>
    <xf numFmtId="0" fontId="5" fillId="2" borderId="2" xfId="0" applyFont="1" applyFill="1" applyBorder="1" applyAlignment="1">
      <alignment horizontal="center" vertical="center"/>
    </xf>
    <xf numFmtId="2" fontId="12" fillId="2" borderId="1" xfId="2" applyNumberFormat="1" applyFont="1" applyFill="1" applyBorder="1" applyAlignment="1">
      <alignment vertical="center"/>
    </xf>
    <xf numFmtId="2" fontId="12" fillId="2" borderId="1" xfId="0" applyNumberFormat="1" applyFont="1" applyFill="1" applyBorder="1" applyAlignment="1">
      <alignment vertical="center"/>
    </xf>
    <xf numFmtId="2" fontId="16" fillId="2" borderId="1" xfId="0" applyNumberFormat="1" applyFont="1" applyFill="1" applyBorder="1" applyAlignment="1">
      <alignment vertical="center"/>
    </xf>
    <xf numFmtId="2" fontId="12" fillId="2" borderId="1" xfId="2" applyNumberFormat="1" applyFont="1" applyFill="1" applyBorder="1" applyAlignment="1">
      <alignment horizontal="right" vertical="center"/>
    </xf>
    <xf numFmtId="2" fontId="12" fillId="2" borderId="1" xfId="0" applyNumberFormat="1" applyFont="1" applyFill="1" applyBorder="1" applyAlignment="1">
      <alignment horizontal="right" vertical="center"/>
    </xf>
    <xf numFmtId="2" fontId="17" fillId="2" borderId="1" xfId="0" applyNumberFormat="1" applyFont="1" applyFill="1" applyBorder="1" applyAlignment="1">
      <alignment vertical="center"/>
    </xf>
    <xf numFmtId="2" fontId="16" fillId="2" borderId="1" xfId="0" applyNumberFormat="1" applyFont="1" applyFill="1" applyBorder="1" applyAlignment="1">
      <alignment horizontal="right" vertical="center"/>
    </xf>
    <xf numFmtId="0" fontId="12" fillId="2" borderId="1" xfId="0" applyFont="1" applyFill="1" applyBorder="1"/>
    <xf numFmtId="0" fontId="4" fillId="0" borderId="0" xfId="0" applyFont="1" applyAlignment="1">
      <alignment vertical="center"/>
    </xf>
    <xf numFmtId="0" fontId="0" fillId="2" borderId="0" xfId="0" applyFill="1" applyBorder="1" applyAlignment="1">
      <alignment horizontal="left" vertical="center"/>
    </xf>
    <xf numFmtId="0" fontId="4" fillId="2" borderId="0" xfId="0" applyFont="1" applyFill="1" applyBorder="1" applyAlignment="1">
      <alignment vertical="center"/>
    </xf>
    <xf numFmtId="0" fontId="4" fillId="2" borderId="0" xfId="0" applyFont="1" applyFill="1" applyBorder="1" applyAlignment="1">
      <alignment horizontal="left" vertical="center"/>
    </xf>
    <xf numFmtId="0" fontId="4" fillId="2" borderId="0" xfId="0" applyFont="1" applyFill="1" applyBorder="1"/>
    <xf numFmtId="0" fontId="0" fillId="2" borderId="2" xfId="0" applyFill="1" applyBorder="1"/>
    <xf numFmtId="0" fontId="5" fillId="2" borderId="1" xfId="0" applyFont="1" applyFill="1" applyBorder="1" applyAlignment="1">
      <alignment horizontal="center" vertical="center"/>
    </xf>
    <xf numFmtId="0" fontId="5" fillId="2" borderId="1" xfId="0" applyFont="1" applyFill="1" applyBorder="1" applyAlignment="1">
      <alignment horizontal="center"/>
    </xf>
    <xf numFmtId="0" fontId="16" fillId="2" borderId="0" xfId="0" applyFont="1" applyFill="1"/>
    <xf numFmtId="0" fontId="12" fillId="2" borderId="0" xfId="0" applyFont="1" applyFill="1"/>
    <xf numFmtId="0" fontId="16" fillId="0" borderId="1" xfId="0" applyFont="1" applyBorder="1" applyAlignment="1">
      <alignment vertical="center"/>
    </xf>
    <xf numFmtId="0" fontId="12" fillId="2" borderId="0" xfId="0" applyFont="1" applyFill="1" applyAlignment="1">
      <alignment horizontal="left" vertical="center"/>
    </xf>
    <xf numFmtId="0" fontId="12" fillId="2" borderId="1" xfId="0" applyFont="1" applyFill="1" applyBorder="1" applyAlignment="1"/>
    <xf numFmtId="1" fontId="12" fillId="2" borderId="0" xfId="0" applyNumberFormat="1" applyFont="1" applyFill="1" applyAlignment="1">
      <alignment horizontal="left" vertical="center"/>
    </xf>
    <xf numFmtId="0" fontId="16" fillId="2" borderId="1" xfId="0" applyFont="1" applyFill="1" applyBorder="1" applyAlignment="1">
      <alignment horizontal="right"/>
    </xf>
    <xf numFmtId="0" fontId="20" fillId="2" borderId="1" xfId="0" applyFont="1" applyFill="1" applyBorder="1"/>
    <xf numFmtId="2" fontId="16" fillId="2" borderId="1" xfId="0" applyNumberFormat="1" applyFont="1" applyFill="1" applyBorder="1" applyAlignment="1">
      <alignment horizontal="center" vertical="center"/>
    </xf>
    <xf numFmtId="0" fontId="12" fillId="2" borderId="0" xfId="0" applyFont="1" applyFill="1" applyAlignment="1">
      <alignment horizontal="right"/>
    </xf>
    <xf numFmtId="2" fontId="12" fillId="2" borderId="0" xfId="0" applyNumberFormat="1" applyFont="1" applyFill="1"/>
    <xf numFmtId="2" fontId="16" fillId="2" borderId="0" xfId="0" applyNumberFormat="1" applyFont="1" applyFill="1"/>
    <xf numFmtId="0" fontId="20" fillId="2" borderId="2" xfId="0" applyFont="1" applyFill="1" applyBorder="1"/>
    <xf numFmtId="2" fontId="16" fillId="2" borderId="1" xfId="0" applyNumberFormat="1" applyFont="1" applyFill="1" applyBorder="1" applyAlignment="1">
      <alignment horizontal="center"/>
    </xf>
    <xf numFmtId="2" fontId="17" fillId="2" borderId="1" xfId="0" applyNumberFormat="1" applyFont="1" applyFill="1" applyBorder="1" applyAlignment="1">
      <alignment horizontal="right" vertical="center"/>
    </xf>
    <xf numFmtId="0" fontId="12" fillId="0" borderId="1" xfId="2" applyFont="1" applyFill="1" applyBorder="1"/>
    <xf numFmtId="0" fontId="12" fillId="0" borderId="1" xfId="2" applyFont="1" applyFill="1" applyBorder="1" applyAlignment="1">
      <alignment vertical="center"/>
    </xf>
    <xf numFmtId="0" fontId="19" fillId="2" borderId="0" xfId="0" applyFont="1" applyFill="1"/>
    <xf numFmtId="0" fontId="19" fillId="2" borderId="1" xfId="0" applyFont="1" applyFill="1" applyBorder="1"/>
    <xf numFmtId="0" fontId="5" fillId="2" borderId="1" xfId="0" applyFont="1" applyFill="1" applyBorder="1" applyAlignment="1">
      <alignment horizontal="center" vertical="center"/>
    </xf>
    <xf numFmtId="0" fontId="16" fillId="2" borderId="2" xfId="0" applyFont="1" applyFill="1" applyBorder="1"/>
    <xf numFmtId="2" fontId="16" fillId="2" borderId="4" xfId="0" applyNumberFormat="1" applyFont="1" applyFill="1" applyBorder="1" applyAlignment="1">
      <alignment horizontal="right" vertical="center"/>
    </xf>
    <xf numFmtId="0" fontId="4" fillId="2" borderId="0" xfId="0" applyFont="1" applyFill="1" applyAlignment="1">
      <alignment vertical="center"/>
    </xf>
    <xf numFmtId="0" fontId="0" fillId="2" borderId="1" xfId="0" applyFont="1" applyFill="1" applyBorder="1" applyAlignment="1">
      <alignment horizontal="center"/>
    </xf>
    <xf numFmtId="2" fontId="0" fillId="2" borderId="1" xfId="0" applyNumberFormat="1" applyFont="1" applyFill="1" applyBorder="1" applyAlignment="1">
      <alignment horizontal="right" vertical="center"/>
    </xf>
    <xf numFmtId="2" fontId="5" fillId="2" borderId="1" xfId="2" applyNumberFormat="1" applyFont="1" applyFill="1" applyBorder="1" applyAlignment="1">
      <alignment horizontal="right" vertical="center"/>
    </xf>
    <xf numFmtId="0" fontId="19" fillId="0" borderId="1" xfId="0" applyFont="1" applyBorder="1" applyAlignment="1">
      <alignment vertical="center" wrapText="1"/>
    </xf>
    <xf numFmtId="0" fontId="21" fillId="0" borderId="1" xfId="0" applyFont="1" applyBorder="1" applyAlignment="1">
      <alignment vertical="center"/>
    </xf>
    <xf numFmtId="0" fontId="22" fillId="0" borderId="1" xfId="0" applyFont="1" applyBorder="1" applyAlignment="1">
      <alignment vertical="center"/>
    </xf>
    <xf numFmtId="0" fontId="3" fillId="0" borderId="1" xfId="0" applyFont="1" applyBorder="1" applyAlignment="1">
      <alignment vertical="top"/>
    </xf>
    <xf numFmtId="0" fontId="19" fillId="0" borderId="1" xfId="0" applyFont="1" applyBorder="1" applyAlignment="1">
      <alignment vertical="top"/>
    </xf>
    <xf numFmtId="0" fontId="23" fillId="0" borderId="1" xfId="0" applyFont="1" applyBorder="1" applyAlignment="1">
      <alignment vertical="center"/>
    </xf>
    <xf numFmtId="2" fontId="22" fillId="0" borderId="1" xfId="0" applyNumberFormat="1" applyFont="1" applyBorder="1" applyAlignment="1">
      <alignment horizontal="right" vertical="center"/>
    </xf>
    <xf numFmtId="2" fontId="21" fillId="0" borderId="1" xfId="0" applyNumberFormat="1" applyFont="1" applyBorder="1" applyAlignment="1">
      <alignment horizontal="right" vertical="center"/>
    </xf>
    <xf numFmtId="2" fontId="23" fillId="0" borderId="1" xfId="0" applyNumberFormat="1" applyFont="1" applyBorder="1" applyAlignment="1">
      <alignment horizontal="right" vertical="center"/>
    </xf>
    <xf numFmtId="2" fontId="3" fillId="0" borderId="1" xfId="0" applyNumberFormat="1" applyFont="1" applyBorder="1" applyAlignment="1">
      <alignment vertical="top"/>
    </xf>
    <xf numFmtId="2" fontId="19" fillId="0" borderId="1" xfId="0" applyNumberFormat="1" applyFont="1" applyBorder="1" applyAlignment="1">
      <alignment vertical="top"/>
    </xf>
    <xf numFmtId="0" fontId="4" fillId="2" borderId="0" xfId="0" applyFont="1" applyFill="1" applyAlignment="1">
      <alignment horizontal="center"/>
    </xf>
    <xf numFmtId="0" fontId="0" fillId="2" borderId="0" xfId="0" applyFont="1" applyFill="1" applyAlignment="1">
      <alignment horizontal="center"/>
    </xf>
    <xf numFmtId="0" fontId="0" fillId="2" borderId="1" xfId="0" applyFill="1" applyBorder="1" applyAlignment="1">
      <alignment horizontal="left" vertical="center" wrapText="1"/>
    </xf>
    <xf numFmtId="0" fontId="0" fillId="2" borderId="1" xfId="0" applyFont="1" applyFill="1" applyBorder="1" applyAlignment="1">
      <alignment horizontal="center" vertical="center" wrapText="1"/>
    </xf>
    <xf numFmtId="0" fontId="0" fillId="2" borderId="0" xfId="0" applyFont="1" applyFill="1"/>
    <xf numFmtId="0" fontId="0" fillId="2" borderId="1" xfId="0" applyFill="1" applyBorder="1" applyAlignment="1">
      <alignment horizontal="left" vertical="center"/>
    </xf>
    <xf numFmtId="0" fontId="16" fillId="0" borderId="1" xfId="0" applyFont="1" applyBorder="1" applyAlignment="1">
      <alignment horizontal="left" vertical="center" wrapText="1"/>
    </xf>
    <xf numFmtId="0" fontId="12" fillId="0" borderId="1" xfId="0" applyFont="1" applyBorder="1" applyAlignment="1">
      <alignment horizontal="right" vertical="center" wrapText="1"/>
    </xf>
    <xf numFmtId="0" fontId="16" fillId="0" borderId="3" xfId="0" applyFont="1" applyBorder="1" applyAlignment="1">
      <alignment horizontal="left" vertical="center" wrapText="1"/>
    </xf>
    <xf numFmtId="0" fontId="12" fillId="0" borderId="3" xfId="0" applyFont="1" applyBorder="1" applyAlignment="1">
      <alignment horizontal="left" vertical="center" wrapText="1"/>
    </xf>
    <xf numFmtId="0" fontId="16" fillId="2" borderId="1" xfId="0" applyFont="1" applyFill="1" applyBorder="1" applyAlignment="1">
      <alignment horizontal="center"/>
    </xf>
    <xf numFmtId="0" fontId="16" fillId="0" borderId="1" xfId="0" applyFont="1" applyBorder="1" applyAlignment="1">
      <alignment horizontal="center" vertical="center"/>
    </xf>
    <xf numFmtId="0" fontId="16" fillId="0" borderId="3" xfId="0" applyFont="1" applyBorder="1" applyAlignment="1">
      <alignment vertical="center"/>
    </xf>
    <xf numFmtId="0" fontId="0" fillId="2" borderId="1" xfId="0" applyFont="1" applyFill="1" applyBorder="1" applyAlignment="1"/>
    <xf numFmtId="0" fontId="12" fillId="2" borderId="0" xfId="1" applyFont="1" applyFill="1"/>
    <xf numFmtId="0" fontId="12" fillId="2" borderId="0" xfId="2" applyFont="1" applyFill="1"/>
    <xf numFmtId="0" fontId="4" fillId="2" borderId="0" xfId="0" applyFont="1" applyFill="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xf>
    <xf numFmtId="0" fontId="0" fillId="2" borderId="1" xfId="0" applyFont="1" applyFill="1" applyBorder="1" applyAlignment="1">
      <alignment horizontal="right"/>
    </xf>
    <xf numFmtId="0" fontId="10" fillId="2" borderId="0" xfId="3" applyFill="1"/>
    <xf numFmtId="0" fontId="10" fillId="2" borderId="0" xfId="3" applyFill="1" applyAlignment="1">
      <alignment horizontal="left"/>
    </xf>
    <xf numFmtId="0" fontId="0" fillId="2" borderId="1" xfId="0" applyFill="1" applyBorder="1" applyAlignment="1">
      <alignment horizontal="center" vertical="center"/>
    </xf>
    <xf numFmtId="0" fontId="24" fillId="0" borderId="0" xfId="0" applyFont="1"/>
    <xf numFmtId="0" fontId="25" fillId="0" borderId="17" xfId="0" applyFont="1" applyBorder="1" applyAlignment="1">
      <alignment horizontal="center" vertical="center" wrapText="1"/>
    </xf>
    <xf numFmtId="0" fontId="26" fillId="0" borderId="13" xfId="0" applyFont="1" applyBorder="1" applyAlignment="1">
      <alignment horizontal="justify" vertical="center" wrapText="1"/>
    </xf>
    <xf numFmtId="0" fontId="26" fillId="0" borderId="14" xfId="0" applyFont="1" applyBorder="1" applyAlignment="1">
      <alignment horizontal="justify" vertical="center" wrapText="1"/>
    </xf>
    <xf numFmtId="0" fontId="26" fillId="0" borderId="15" xfId="0" applyFont="1" applyBorder="1" applyAlignment="1">
      <alignment horizontal="justify" vertical="center" wrapText="1"/>
    </xf>
    <xf numFmtId="0" fontId="26" fillId="0" borderId="17" xfId="0" applyFont="1" applyBorder="1" applyAlignment="1">
      <alignment horizontal="center" vertical="center" wrapText="1"/>
    </xf>
    <xf numFmtId="3" fontId="26" fillId="0" borderId="17" xfId="0" applyNumberFormat="1" applyFont="1" applyBorder="1" applyAlignment="1">
      <alignment horizontal="center" vertical="center" wrapText="1"/>
    </xf>
    <xf numFmtId="4" fontId="26" fillId="0" borderId="17" xfId="0" applyNumberFormat="1" applyFont="1" applyBorder="1" applyAlignment="1">
      <alignment horizontal="center" vertical="center" wrapText="1"/>
    </xf>
    <xf numFmtId="0" fontId="26" fillId="0" borderId="17" xfId="0" applyFont="1" applyBorder="1" applyAlignment="1">
      <alignment horizontal="justify" vertical="center" wrapText="1"/>
    </xf>
    <xf numFmtId="0" fontId="25" fillId="0" borderId="17" xfId="0" applyFont="1" applyBorder="1" applyAlignment="1">
      <alignment horizontal="right" vertical="center" wrapText="1"/>
    </xf>
    <xf numFmtId="0" fontId="26" fillId="0" borderId="0" xfId="0" applyFont="1" applyBorder="1" applyAlignment="1">
      <alignment horizontal="justify" vertical="center" wrapText="1"/>
    </xf>
    <xf numFmtId="0" fontId="25" fillId="0" borderId="0" xfId="0" applyFont="1" applyBorder="1" applyAlignment="1">
      <alignment horizontal="right" vertical="center" wrapText="1"/>
    </xf>
    <xf numFmtId="0" fontId="25" fillId="0" borderId="0" xfId="0" applyFont="1" applyBorder="1" applyAlignment="1">
      <alignment horizontal="center" vertical="center" wrapText="1"/>
    </xf>
    <xf numFmtId="0" fontId="29" fillId="2" borderId="0" xfId="0" applyFont="1" applyFill="1" applyAlignment="1">
      <alignment vertical="top"/>
    </xf>
    <xf numFmtId="0" fontId="30" fillId="2" borderId="0" xfId="0" applyFont="1" applyFill="1" applyAlignment="1">
      <alignment vertical="top"/>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6" xfId="0" applyFont="1" applyBorder="1" applyAlignment="1">
      <alignment horizontal="center" vertical="center" wrapText="1"/>
    </xf>
    <xf numFmtId="0" fontId="32" fillId="0" borderId="19" xfId="0" applyFont="1" applyBorder="1" applyAlignment="1">
      <alignment horizontal="left" vertical="center" wrapText="1"/>
    </xf>
    <xf numFmtId="0" fontId="32" fillId="0" borderId="17" xfId="0" applyFont="1" applyBorder="1" applyAlignment="1">
      <alignment horizontal="left" vertical="center" wrapText="1"/>
    </xf>
    <xf numFmtId="0" fontId="34" fillId="0" borderId="16" xfId="0" applyFont="1" applyBorder="1" applyAlignment="1">
      <alignment vertical="top" wrapText="1"/>
    </xf>
    <xf numFmtId="0" fontId="32" fillId="0" borderId="19" xfId="0" applyFont="1" applyBorder="1" applyAlignment="1">
      <alignment horizontal="left" vertical="center" wrapText="1" indent="5"/>
    </xf>
    <xf numFmtId="0" fontId="34" fillId="0" borderId="15" xfId="0" applyFont="1" applyBorder="1" applyAlignment="1">
      <alignment vertical="top" wrapText="1"/>
    </xf>
    <xf numFmtId="0" fontId="31" fillId="0" borderId="17" xfId="0" applyFont="1" applyBorder="1" applyAlignment="1">
      <alignment horizontal="right" vertical="center" wrapText="1" indent="5"/>
    </xf>
    <xf numFmtId="0" fontId="31" fillId="0" borderId="17" xfId="0" applyFont="1" applyBorder="1" applyAlignment="1">
      <alignment horizontal="center" vertical="center" wrapText="1"/>
    </xf>
    <xf numFmtId="0" fontId="32" fillId="0" borderId="16" xfId="0" applyFont="1" applyBorder="1" applyAlignment="1">
      <alignment horizontal="center" vertical="center" wrapText="1"/>
    </xf>
    <xf numFmtId="0" fontId="34" fillId="0" borderId="16" xfId="0" applyFont="1" applyBorder="1" applyAlignment="1">
      <alignment vertical="center" wrapText="1"/>
    </xf>
    <xf numFmtId="0" fontId="32" fillId="0" borderId="17" xfId="0" applyFont="1" applyBorder="1" applyAlignment="1">
      <alignment horizontal="left" vertical="center" wrapText="1" indent="1"/>
    </xf>
    <xf numFmtId="0" fontId="34" fillId="0" borderId="15" xfId="0" applyFont="1" applyBorder="1" applyAlignment="1">
      <alignment vertical="center" wrapText="1"/>
    </xf>
    <xf numFmtId="0" fontId="31" fillId="0" borderId="17" xfId="0" applyFont="1" applyBorder="1" applyAlignment="1">
      <alignment horizontal="right" vertical="center" wrapText="1" indent="1"/>
    </xf>
    <xf numFmtId="0" fontId="32" fillId="0" borderId="17" xfId="0" applyFont="1" applyBorder="1" applyAlignment="1">
      <alignment horizontal="center" vertical="center" wrapText="1"/>
    </xf>
    <xf numFmtId="0" fontId="32" fillId="0" borderId="19" xfId="0" applyFont="1" applyBorder="1" applyAlignment="1">
      <alignment horizontal="left" vertical="top" wrapText="1"/>
    </xf>
    <xf numFmtId="0" fontId="32" fillId="0" borderId="13" xfId="0" applyFont="1" applyBorder="1" applyAlignment="1">
      <alignment horizontal="center" vertical="center" wrapText="1"/>
    </xf>
    <xf numFmtId="0" fontId="32" fillId="0" borderId="17" xfId="0" applyFont="1" applyBorder="1" applyAlignment="1">
      <alignment horizontal="left" vertical="top" wrapText="1"/>
    </xf>
    <xf numFmtId="0" fontId="32" fillId="0" borderId="14" xfId="0" applyFont="1" applyBorder="1" applyAlignment="1">
      <alignment horizontal="left" vertical="top" wrapText="1"/>
    </xf>
    <xf numFmtId="0" fontId="0" fillId="2" borderId="0" xfId="0" applyFill="1" applyAlignment="1">
      <alignment wrapText="1"/>
    </xf>
    <xf numFmtId="2" fontId="0" fillId="2" borderId="1" xfId="0" applyNumberFormat="1" applyFill="1" applyBorder="1" applyAlignment="1">
      <alignment horizontal="right" vertical="center" wrapText="1"/>
    </xf>
    <xf numFmtId="2" fontId="0" fillId="2" borderId="1" xfId="0" applyNumberFormat="1" applyFont="1" applyFill="1" applyBorder="1" applyAlignment="1">
      <alignment horizontal="right" vertical="center" wrapText="1"/>
    </xf>
    <xf numFmtId="0" fontId="5" fillId="2" borderId="1" xfId="0" applyFont="1" applyFill="1" applyBorder="1" applyAlignment="1">
      <alignment horizontal="right" wrapText="1"/>
    </xf>
    <xf numFmtId="2" fontId="16" fillId="2" borderId="1" xfId="0" applyNumberFormat="1" applyFont="1" applyFill="1" applyBorder="1" applyAlignment="1">
      <alignment wrapText="1"/>
    </xf>
    <xf numFmtId="2" fontId="0" fillId="2" borderId="1" xfId="0" applyNumberFormat="1" applyFill="1" applyBorder="1" applyAlignment="1">
      <alignment wrapText="1"/>
    </xf>
    <xf numFmtId="2" fontId="12" fillId="2" borderId="1" xfId="0" applyNumberFormat="1" applyFont="1" applyFill="1" applyBorder="1" applyAlignment="1">
      <alignment wrapText="1"/>
    </xf>
    <xf numFmtId="2" fontId="5" fillId="2" borderId="1" xfId="0" applyNumberFormat="1" applyFont="1" applyFill="1" applyBorder="1" applyAlignment="1">
      <alignment wrapText="1"/>
    </xf>
    <xf numFmtId="2" fontId="12" fillId="2" borderId="1" xfId="0" applyNumberFormat="1" applyFont="1" applyFill="1" applyBorder="1" applyAlignment="1">
      <alignment horizontal="right" vertical="center" wrapText="1"/>
    </xf>
    <xf numFmtId="0" fontId="36" fillId="2"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0" fillId="2" borderId="0" xfId="0" applyFill="1" applyAlignment="1">
      <alignment horizontal="left" vertical="top"/>
    </xf>
    <xf numFmtId="0" fontId="36" fillId="2" borderId="1" xfId="0" applyFont="1" applyFill="1" applyBorder="1" applyAlignment="1">
      <alignment horizontal="left" vertical="center" wrapText="1"/>
    </xf>
    <xf numFmtId="0" fontId="34" fillId="2" borderId="1" xfId="0" applyFont="1" applyFill="1" applyBorder="1" applyAlignment="1">
      <alignment horizontal="left" vertical="center" wrapText="1"/>
    </xf>
    <xf numFmtId="0" fontId="19" fillId="2" borderId="1" xfId="0" applyFont="1" applyFill="1" applyBorder="1" applyAlignment="1">
      <alignment horizontal="left" vertical="center"/>
    </xf>
    <xf numFmtId="0" fontId="0" fillId="2" borderId="0" xfId="0" applyFill="1" applyAlignment="1">
      <alignment vertical="center"/>
    </xf>
    <xf numFmtId="0" fontId="0" fillId="2" borderId="0" xfId="0" applyFill="1" applyAlignment="1">
      <alignment horizontal="left" vertical="center"/>
    </xf>
    <xf numFmtId="165" fontId="0" fillId="2" borderId="0" xfId="12" applyFont="1" applyFill="1" applyAlignment="1">
      <alignment vertical="center"/>
    </xf>
    <xf numFmtId="0" fontId="36" fillId="2" borderId="1" xfId="0" applyFont="1" applyFill="1" applyBorder="1" applyAlignment="1">
      <alignment horizontal="left" vertical="top"/>
    </xf>
    <xf numFmtId="2" fontId="36" fillId="2" borderId="1" xfId="0" applyNumberFormat="1" applyFont="1" applyFill="1" applyBorder="1" applyAlignment="1">
      <alignment horizontal="left" vertical="top"/>
    </xf>
    <xf numFmtId="0" fontId="34" fillId="2" borderId="1" xfId="0" applyFont="1" applyFill="1" applyBorder="1" applyAlignment="1">
      <alignment horizontal="left" vertical="top"/>
    </xf>
    <xf numFmtId="2" fontId="34" fillId="2" borderId="1" xfId="0" applyNumberFormat="1" applyFont="1" applyFill="1" applyBorder="1" applyAlignment="1">
      <alignment horizontal="left" vertical="top"/>
    </xf>
    <xf numFmtId="167" fontId="36" fillId="0" borderId="1" xfId="0" applyNumberFormat="1" applyFont="1" applyBorder="1" applyAlignment="1">
      <alignment horizontal="left" vertical="top"/>
    </xf>
    <xf numFmtId="0" fontId="39" fillId="2" borderId="0" xfId="0" applyFont="1" applyFill="1"/>
    <xf numFmtId="0" fontId="38" fillId="2" borderId="1" xfId="0" applyFont="1" applyFill="1" applyBorder="1" applyAlignment="1">
      <alignment horizontal="left" vertical="top"/>
    </xf>
    <xf numFmtId="0" fontId="39" fillId="2" borderId="1" xfId="0" applyFont="1" applyFill="1" applyBorder="1" applyAlignment="1">
      <alignment horizontal="left" vertical="top" wrapText="1"/>
    </xf>
    <xf numFmtId="0" fontId="38" fillId="2" borderId="0" xfId="0" applyFont="1" applyFill="1" applyAlignment="1">
      <alignment horizontal="left" vertical="top"/>
    </xf>
    <xf numFmtId="0" fontId="39" fillId="2" borderId="0" xfId="0" applyFont="1" applyFill="1" applyAlignment="1">
      <alignment horizontal="left" vertical="top"/>
    </xf>
    <xf numFmtId="0" fontId="38" fillId="2" borderId="1" xfId="0" applyFont="1" applyFill="1" applyBorder="1" applyAlignment="1">
      <alignment horizontal="left" vertical="top" wrapText="1"/>
    </xf>
    <xf numFmtId="0" fontId="39" fillId="2" borderId="1" xfId="0" applyFont="1" applyFill="1" applyBorder="1" applyAlignment="1">
      <alignment horizontal="left" vertical="top"/>
    </xf>
    <xf numFmtId="1" fontId="39" fillId="2" borderId="1" xfId="0" applyNumberFormat="1" applyFont="1" applyFill="1" applyBorder="1" applyAlignment="1">
      <alignment horizontal="left" vertical="top"/>
    </xf>
    <xf numFmtId="2" fontId="39" fillId="2" borderId="1" xfId="0" applyNumberFormat="1" applyFont="1" applyFill="1" applyBorder="1" applyAlignment="1">
      <alignment horizontal="left" vertical="top"/>
    </xf>
    <xf numFmtId="0" fontId="43" fillId="2" borderId="0" xfId="0" applyFont="1" applyFill="1" applyAlignment="1">
      <alignment horizontal="left" vertical="top"/>
    </xf>
    <xf numFmtId="1" fontId="39" fillId="2" borderId="1" xfId="0" applyNumberFormat="1" applyFont="1" applyFill="1" applyBorder="1" applyAlignment="1">
      <alignment horizontal="left" vertical="top"/>
    </xf>
    <xf numFmtId="1" fontId="39" fillId="2" borderId="2" xfId="0" applyNumberFormat="1" applyFont="1" applyFill="1" applyBorder="1" applyAlignment="1">
      <alignment horizontal="left" vertical="top"/>
    </xf>
    <xf numFmtId="0" fontId="39" fillId="2" borderId="2" xfId="0" applyFont="1" applyFill="1" applyBorder="1" applyAlignment="1">
      <alignment horizontal="left" vertical="top" wrapText="1"/>
    </xf>
    <xf numFmtId="1" fontId="39" fillId="2" borderId="0" xfId="0" applyNumberFormat="1" applyFont="1" applyFill="1" applyAlignment="1">
      <alignment horizontal="left" vertical="top"/>
    </xf>
    <xf numFmtId="0" fontId="39" fillId="2" borderId="0" xfId="0" applyFont="1" applyFill="1" applyAlignment="1">
      <alignment horizontal="left" vertical="top" wrapText="1"/>
    </xf>
    <xf numFmtId="0" fontId="38" fillId="2" borderId="11" xfId="0" applyFont="1" applyFill="1" applyBorder="1" applyAlignment="1">
      <alignment horizontal="left" vertical="top"/>
    </xf>
    <xf numFmtId="0" fontId="38" fillId="2" borderId="1" xfId="0" applyFont="1" applyFill="1" applyBorder="1" applyAlignment="1">
      <alignment horizontal="left" vertical="top" wrapText="1"/>
    </xf>
    <xf numFmtId="0" fontId="39" fillId="2" borderId="0" xfId="0" applyNumberFormat="1" applyFont="1" applyFill="1" applyAlignment="1">
      <alignment horizontal="left" vertical="top"/>
    </xf>
    <xf numFmtId="0" fontId="40" fillId="2" borderId="0" xfId="0" applyFont="1" applyFill="1" applyAlignment="1">
      <alignment horizontal="left" vertical="top"/>
    </xf>
    <xf numFmtId="0" fontId="39" fillId="2" borderId="0" xfId="0" applyFont="1" applyFill="1" applyBorder="1" applyAlignment="1">
      <alignment horizontal="left" vertical="top"/>
    </xf>
    <xf numFmtId="166" fontId="39" fillId="2" borderId="1" xfId="0" applyNumberFormat="1" applyFont="1" applyFill="1" applyBorder="1" applyAlignment="1">
      <alignment horizontal="left" vertical="top"/>
    </xf>
    <xf numFmtId="0" fontId="30" fillId="2" borderId="0" xfId="0" applyFont="1" applyFill="1"/>
    <xf numFmtId="0" fontId="29" fillId="2" borderId="1" xfId="0" applyFont="1" applyFill="1" applyBorder="1" applyAlignment="1">
      <alignment vertical="center" wrapText="1"/>
    </xf>
    <xf numFmtId="0" fontId="29" fillId="2" borderId="1" xfId="0" applyFont="1" applyFill="1" applyBorder="1" applyAlignment="1">
      <alignment horizontal="center" vertical="center" wrapText="1"/>
    </xf>
    <xf numFmtId="0" fontId="30" fillId="2" borderId="1" xfId="0" applyFont="1" applyFill="1" applyBorder="1" applyAlignment="1">
      <alignment horizontal="left" vertical="center" wrapText="1"/>
    </xf>
    <xf numFmtId="0" fontId="30" fillId="2" borderId="1" xfId="0" applyFont="1" applyFill="1" applyBorder="1" applyAlignment="1">
      <alignment horizontal="center" vertical="center" wrapText="1"/>
    </xf>
    <xf numFmtId="9" fontId="30" fillId="2" borderId="1" xfId="6" applyFont="1" applyFill="1" applyBorder="1" applyAlignment="1">
      <alignment horizontal="center" vertical="center" wrapText="1"/>
    </xf>
    <xf numFmtId="0" fontId="46" fillId="2" borderId="0" xfId="0" applyFont="1" applyFill="1" applyAlignment="1">
      <alignment vertical="center"/>
    </xf>
    <xf numFmtId="0" fontId="30" fillId="0" borderId="1" xfId="0" applyFont="1" applyFill="1" applyBorder="1" applyAlignment="1">
      <alignment horizontal="left" vertical="center" wrapText="1"/>
    </xf>
    <xf numFmtId="0" fontId="30" fillId="0" borderId="1" xfId="0" applyFont="1" applyFill="1" applyBorder="1" applyAlignment="1">
      <alignment horizontal="center" vertical="center" wrapText="1"/>
    </xf>
    <xf numFmtId="9" fontId="30" fillId="0" borderId="1" xfId="6" applyFont="1" applyFill="1" applyBorder="1" applyAlignment="1">
      <alignment horizontal="center" vertical="center" wrapText="1"/>
    </xf>
    <xf numFmtId="0" fontId="30" fillId="2" borderId="0" xfId="0" applyFont="1" applyFill="1" applyBorder="1" applyAlignment="1">
      <alignment horizontal="left" vertical="center" wrapText="1"/>
    </xf>
    <xf numFmtId="0" fontId="30" fillId="2" borderId="0" xfId="0" applyFont="1" applyFill="1" applyBorder="1" applyAlignment="1">
      <alignment horizontal="center" vertical="center" wrapText="1"/>
    </xf>
    <xf numFmtId="9" fontId="30" fillId="2" borderId="0" xfId="6" applyFont="1" applyFill="1" applyBorder="1" applyAlignment="1">
      <alignment horizontal="center" vertical="center" wrapText="1"/>
    </xf>
    <xf numFmtId="2" fontId="30" fillId="2" borderId="1" xfId="0" applyNumberFormat="1" applyFont="1" applyFill="1" applyBorder="1" applyAlignment="1">
      <alignment horizontal="right" vertical="center"/>
    </xf>
    <xf numFmtId="0" fontId="30" fillId="2" borderId="1" xfId="0" applyFont="1" applyFill="1" applyBorder="1" applyAlignment="1">
      <alignment horizontal="left" vertical="center"/>
    </xf>
    <xf numFmtId="0" fontId="46" fillId="2" borderId="0" xfId="0" applyFont="1" applyFill="1"/>
    <xf numFmtId="0" fontId="5" fillId="2" borderId="1"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1" xfId="0" applyNumberFormat="1" applyFont="1" applyFill="1" applyBorder="1" applyAlignment="1">
      <alignment horizontal="left" vertical="top" wrapText="1"/>
    </xf>
    <xf numFmtId="166" fontId="0" fillId="2" borderId="1" xfId="0" applyNumberFormat="1" applyFont="1" applyFill="1" applyBorder="1" applyAlignment="1">
      <alignment horizontal="left" vertical="top" wrapText="1"/>
    </xf>
    <xf numFmtId="2" fontId="0" fillId="2" borderId="1" xfId="0" applyNumberFormat="1" applyFont="1" applyFill="1" applyBorder="1" applyAlignment="1">
      <alignment horizontal="left" vertical="top" wrapText="1"/>
    </xf>
    <xf numFmtId="0" fontId="30" fillId="2" borderId="0" xfId="0" applyFont="1" applyFill="1" applyAlignment="1">
      <alignment horizontal="left" vertical="top" wrapText="1"/>
    </xf>
    <xf numFmtId="0" fontId="38" fillId="2" borderId="1" xfId="0" applyFont="1" applyFill="1" applyBorder="1" applyAlignment="1">
      <alignment horizontal="center" vertical="center"/>
    </xf>
    <xf numFmtId="0" fontId="38" fillId="2" borderId="1" xfId="0" applyFont="1" applyFill="1" applyBorder="1"/>
    <xf numFmtId="0" fontId="38" fillId="0" borderId="1" xfId="0" applyFont="1" applyBorder="1" applyAlignment="1">
      <alignment vertical="center"/>
    </xf>
    <xf numFmtId="0" fontId="39" fillId="2" borderId="1" xfId="0" applyFont="1" applyFill="1" applyBorder="1" applyAlignment="1">
      <alignment horizontal="center" vertical="center"/>
    </xf>
    <xf numFmtId="0" fontId="39" fillId="2" borderId="1" xfId="0" applyFont="1" applyFill="1" applyBorder="1" applyAlignment="1">
      <alignment wrapText="1"/>
    </xf>
    <xf numFmtId="2" fontId="39" fillId="2" borderId="1" xfId="0" applyNumberFormat="1" applyFont="1" applyFill="1" applyBorder="1" applyAlignment="1">
      <alignment horizontal="right" vertical="center"/>
    </xf>
    <xf numFmtId="2" fontId="38" fillId="2" borderId="1" xfId="0" applyNumberFormat="1" applyFont="1" applyFill="1" applyBorder="1" applyAlignment="1">
      <alignment horizontal="right" vertical="center"/>
    </xf>
    <xf numFmtId="0" fontId="39" fillId="2" borderId="1" xfId="0" applyFont="1" applyFill="1" applyBorder="1" applyAlignment="1"/>
    <xf numFmtId="2" fontId="39" fillId="2" borderId="1" xfId="2" applyNumberFormat="1" applyFont="1" applyFill="1" applyBorder="1" applyAlignment="1">
      <alignment horizontal="right" vertical="center"/>
    </xf>
    <xf numFmtId="2" fontId="47" fillId="2" borderId="1" xfId="0" applyNumberFormat="1" applyFont="1" applyFill="1" applyBorder="1" applyAlignment="1">
      <alignment horizontal="right" vertical="center"/>
    </xf>
    <xf numFmtId="2" fontId="39" fillId="2" borderId="0" xfId="0" applyNumberFormat="1" applyFont="1" applyFill="1"/>
    <xf numFmtId="0" fontId="38" fillId="2" borderId="1" xfId="0" applyFont="1" applyFill="1" applyBorder="1" applyAlignment="1">
      <alignment horizontal="right"/>
    </xf>
    <xf numFmtId="0" fontId="39" fillId="2" borderId="1" xfId="0" applyFont="1" applyFill="1" applyBorder="1"/>
    <xf numFmtId="2" fontId="38" fillId="2" borderId="4" xfId="0" applyNumberFormat="1" applyFont="1" applyFill="1" applyBorder="1" applyAlignment="1">
      <alignment horizontal="right" vertical="center"/>
    </xf>
    <xf numFmtId="0" fontId="45" fillId="2" borderId="2" xfId="0" applyFont="1" applyFill="1" applyBorder="1"/>
    <xf numFmtId="0" fontId="38" fillId="2" borderId="2" xfId="0" applyFont="1" applyFill="1" applyBorder="1"/>
    <xf numFmtId="2" fontId="38" fillId="2" borderId="1" xfId="0" applyNumberFormat="1" applyFont="1" applyFill="1" applyBorder="1" applyAlignment="1">
      <alignment horizontal="center"/>
    </xf>
    <xf numFmtId="0" fontId="39" fillId="2" borderId="0" xfId="0" applyFont="1" applyFill="1" applyAlignment="1">
      <alignment horizontal="right"/>
    </xf>
    <xf numFmtId="0" fontId="38" fillId="2" borderId="0" xfId="0" applyFont="1" applyFill="1"/>
    <xf numFmtId="2" fontId="38" fillId="2" borderId="0" xfId="0" applyNumberFormat="1" applyFont="1" applyFill="1"/>
    <xf numFmtId="0" fontId="0" fillId="2" borderId="23" xfId="0" applyFill="1" applyBorder="1" applyAlignment="1">
      <alignment horizontal="left" vertical="top" wrapText="1"/>
    </xf>
    <xf numFmtId="0" fontId="0" fillId="2" borderId="1" xfId="0" applyFill="1" applyBorder="1" applyAlignment="1">
      <alignment horizontal="left" vertical="top" wrapText="1"/>
    </xf>
    <xf numFmtId="0" fontId="5" fillId="2" borderId="1" xfId="0" applyFont="1" applyFill="1" applyBorder="1" applyAlignment="1">
      <alignment horizontal="center" vertical="center"/>
    </xf>
    <xf numFmtId="0" fontId="16" fillId="2" borderId="1" xfId="0" applyFont="1" applyFill="1" applyBorder="1" applyAlignment="1">
      <alignment vertical="center"/>
    </xf>
    <xf numFmtId="0" fontId="12" fillId="2" borderId="1" xfId="0" applyFont="1" applyFill="1" applyBorder="1" applyAlignment="1">
      <alignment vertical="center" wrapText="1"/>
    </xf>
    <xf numFmtId="0" fontId="16" fillId="2" borderId="1" xfId="0" applyFont="1" applyFill="1" applyBorder="1" applyAlignment="1">
      <alignment horizontal="right" vertical="center"/>
    </xf>
    <xf numFmtId="0" fontId="12" fillId="2" borderId="1" xfId="0" applyFont="1" applyFill="1" applyBorder="1" applyAlignment="1">
      <alignment vertical="center"/>
    </xf>
    <xf numFmtId="0" fontId="20" fillId="2" borderId="1" xfId="0" applyFont="1" applyFill="1" applyBorder="1" applyAlignment="1">
      <alignment vertical="center"/>
    </xf>
    <xf numFmtId="0" fontId="0" fillId="0" borderId="29" xfId="0" applyBorder="1"/>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0" fillId="2" borderId="1" xfId="0" applyFont="1" applyFill="1" applyBorder="1" applyAlignment="1">
      <alignment horizontal="left" vertical="center" wrapText="1"/>
    </xf>
    <xf numFmtId="2" fontId="0" fillId="2" borderId="2" xfId="0" applyNumberFormat="1" applyFont="1" applyFill="1" applyBorder="1" applyAlignment="1">
      <alignment horizontal="center" vertical="center"/>
    </xf>
    <xf numFmtId="2" fontId="19" fillId="2" borderId="2" xfId="0" applyNumberFormat="1" applyFont="1" applyFill="1" applyBorder="1" applyAlignment="1">
      <alignment horizontal="center" vertical="center"/>
    </xf>
    <xf numFmtId="0" fontId="50" fillId="0" borderId="0" xfId="0" applyFont="1" applyAlignment="1">
      <alignment horizontal="left"/>
    </xf>
    <xf numFmtId="0" fontId="49" fillId="2" borderId="1" xfId="0" applyFont="1" applyFill="1" applyBorder="1" applyAlignment="1">
      <alignment horizontal="center" vertical="top"/>
    </xf>
    <xf numFmtId="0" fontId="49" fillId="2" borderId="1" xfId="0" applyFont="1" applyFill="1" applyBorder="1" applyAlignment="1">
      <alignment horizontal="left" vertical="top"/>
    </xf>
    <xf numFmtId="0" fontId="49" fillId="2" borderId="1" xfId="0" applyFont="1" applyFill="1" applyBorder="1" applyAlignment="1">
      <alignment horizontal="center" vertical="top" wrapText="1"/>
    </xf>
    <xf numFmtId="0" fontId="51" fillId="2" borderId="1" xfId="0" applyFont="1" applyFill="1" applyBorder="1" applyAlignment="1">
      <alignment horizontal="center" vertical="top"/>
    </xf>
    <xf numFmtId="0" fontId="51" fillId="2" borderId="23" xfId="0" applyFont="1" applyFill="1" applyBorder="1" applyAlignment="1">
      <alignment horizontal="left" vertical="top" wrapText="1"/>
    </xf>
    <xf numFmtId="2" fontId="52" fillId="2" borderId="1" xfId="0" applyNumberFormat="1" applyFont="1" applyFill="1" applyBorder="1" applyAlignment="1">
      <alignment horizontal="center" vertical="top"/>
    </xf>
    <xf numFmtId="0" fontId="51" fillId="0" borderId="0" xfId="0" applyFont="1" applyAlignment="1">
      <alignment horizontal="left" vertical="top" wrapText="1"/>
    </xf>
    <xf numFmtId="2" fontId="52" fillId="0" borderId="0" xfId="0" applyNumberFormat="1" applyFont="1" applyAlignment="1">
      <alignment horizontal="center" vertical="top" wrapText="1"/>
    </xf>
    <xf numFmtId="2" fontId="49" fillId="2" borderId="1" xfId="0" applyNumberFormat="1" applyFont="1" applyFill="1" applyBorder="1" applyAlignment="1">
      <alignment horizontal="center" vertical="top"/>
    </xf>
    <xf numFmtId="0" fontId="49" fillId="0" borderId="3" xfId="0" applyFont="1" applyBorder="1" applyAlignment="1">
      <alignment horizontal="center" vertical="top"/>
    </xf>
    <xf numFmtId="167" fontId="49" fillId="0" borderId="1" xfId="0" applyNumberFormat="1" applyFont="1" applyBorder="1" applyAlignment="1">
      <alignment horizontal="center" vertical="top"/>
    </xf>
    <xf numFmtId="0" fontId="50" fillId="0" borderId="0" xfId="0" applyFont="1" applyAlignment="1">
      <alignment horizontal="center" vertical="top"/>
    </xf>
    <xf numFmtId="0" fontId="50" fillId="0" borderId="0" xfId="0" applyFont="1" applyAlignment="1">
      <alignment horizontal="center"/>
    </xf>
    <xf numFmtId="0" fontId="54" fillId="0" borderId="0" xfId="0" applyFont="1" applyAlignment="1">
      <alignment vertical="center"/>
    </xf>
    <xf numFmtId="0" fontId="53" fillId="0" borderId="0" xfId="0" applyFont="1" applyAlignment="1">
      <alignment horizontal="center" vertical="center" wrapText="1"/>
    </xf>
    <xf numFmtId="0" fontId="56" fillId="0" borderId="0" xfId="0" applyFont="1" applyAlignment="1">
      <alignment vertical="center"/>
    </xf>
    <xf numFmtId="0" fontId="54" fillId="2" borderId="0" xfId="0" applyFont="1" applyFill="1" applyAlignment="1">
      <alignment vertical="center"/>
    </xf>
    <xf numFmtId="0" fontId="57" fillId="2" borderId="1" xfId="0" applyFont="1" applyFill="1" applyBorder="1" applyAlignment="1">
      <alignment horizontal="center" vertical="center"/>
    </xf>
    <xf numFmtId="0" fontId="57" fillId="2" borderId="1" xfId="0" applyFont="1" applyFill="1" applyBorder="1" applyAlignment="1">
      <alignment vertical="center"/>
    </xf>
    <xf numFmtId="0" fontId="57" fillId="0" borderId="1" xfId="0" applyFont="1" applyFill="1" applyBorder="1" applyAlignment="1">
      <alignment vertical="center" wrapText="1"/>
    </xf>
    <xf numFmtId="0" fontId="57" fillId="0" borderId="1" xfId="0" applyFont="1" applyFill="1" applyBorder="1" applyAlignment="1">
      <alignment horizontal="center" vertical="center"/>
    </xf>
    <xf numFmtId="0" fontId="54" fillId="0" borderId="0" xfId="0" applyFont="1" applyFill="1" applyAlignment="1">
      <alignment vertical="center"/>
    </xf>
    <xf numFmtId="0" fontId="54" fillId="2" borderId="1" xfId="0" applyFont="1" applyFill="1" applyBorder="1" applyAlignment="1">
      <alignment horizontal="center" vertical="center"/>
    </xf>
    <xf numFmtId="0" fontId="54" fillId="0" borderId="1" xfId="0" applyFont="1" applyFill="1" applyBorder="1" applyAlignment="1">
      <alignment vertical="center"/>
    </xf>
    <xf numFmtId="2" fontId="54" fillId="0" borderId="1" xfId="0" applyNumberFormat="1" applyFont="1" applyFill="1" applyBorder="1" applyAlignment="1">
      <alignment horizontal="right" vertical="center"/>
    </xf>
    <xf numFmtId="0" fontId="55" fillId="0" borderId="1" xfId="0" applyFont="1" applyFill="1" applyBorder="1" applyAlignment="1">
      <alignment vertical="center" wrapText="1"/>
    </xf>
    <xf numFmtId="2" fontId="55" fillId="0" borderId="1" xfId="0" applyNumberFormat="1" applyFont="1" applyFill="1" applyBorder="1" applyAlignment="1">
      <alignment horizontal="right" vertical="center"/>
    </xf>
    <xf numFmtId="0" fontId="55" fillId="2" borderId="1" xfId="0" applyFont="1" applyFill="1" applyBorder="1" applyAlignment="1">
      <alignment horizontal="center" vertical="center"/>
    </xf>
    <xf numFmtId="2" fontId="58" fillId="0" borderId="0" xfId="0" applyNumberFormat="1" applyFont="1" applyFill="1" applyBorder="1"/>
    <xf numFmtId="0" fontId="57" fillId="0" borderId="1" xfId="0" applyFont="1" applyFill="1" applyBorder="1" applyAlignment="1">
      <alignment vertical="center"/>
    </xf>
    <xf numFmtId="2" fontId="57" fillId="0" borderId="1" xfId="2" applyNumberFormat="1" applyFont="1" applyFill="1" applyBorder="1" applyAlignment="1">
      <alignment horizontal="right" vertical="center"/>
    </xf>
    <xf numFmtId="0" fontId="54" fillId="0" borderId="26" xfId="0" applyFont="1" applyBorder="1" applyAlignment="1">
      <alignment vertical="center"/>
    </xf>
    <xf numFmtId="0" fontId="60" fillId="2" borderId="0" xfId="0" applyFont="1" applyFill="1" applyAlignment="1">
      <alignment vertical="center"/>
    </xf>
    <xf numFmtId="0" fontId="59" fillId="2" borderId="1" xfId="0" applyFont="1" applyFill="1" applyBorder="1" applyAlignment="1">
      <alignment horizontal="center" vertical="center"/>
    </xf>
    <xf numFmtId="0" fontId="59" fillId="2" borderId="1" xfId="0" applyFont="1" applyFill="1" applyBorder="1" applyAlignment="1">
      <alignment vertical="center"/>
    </xf>
    <xf numFmtId="0" fontId="59" fillId="0" borderId="1" xfId="0" applyFont="1" applyBorder="1" applyAlignment="1">
      <alignment vertical="center"/>
    </xf>
    <xf numFmtId="0" fontId="60" fillId="2" borderId="1" xfId="0" applyFont="1" applyFill="1" applyBorder="1" applyAlignment="1">
      <alignment horizontal="center" vertical="center"/>
    </xf>
    <xf numFmtId="0" fontId="60" fillId="2" borderId="1" xfId="0" applyFont="1" applyFill="1" applyBorder="1" applyAlignment="1">
      <alignment vertical="center" wrapText="1"/>
    </xf>
    <xf numFmtId="2" fontId="60" fillId="2" borderId="1" xfId="0" applyNumberFormat="1" applyFont="1" applyFill="1" applyBorder="1" applyAlignment="1">
      <alignment horizontal="right" vertical="center"/>
    </xf>
    <xf numFmtId="2" fontId="59" fillId="2" borderId="1" xfId="0" applyNumberFormat="1" applyFont="1" applyFill="1" applyBorder="1" applyAlignment="1">
      <alignment horizontal="right" vertical="center"/>
    </xf>
    <xf numFmtId="2" fontId="60" fillId="2" borderId="1" xfId="2" applyNumberFormat="1" applyFont="1" applyFill="1" applyBorder="1" applyAlignment="1">
      <alignment horizontal="right" vertical="center"/>
    </xf>
    <xf numFmtId="0" fontId="59" fillId="2" borderId="1" xfId="0" applyFont="1" applyFill="1" applyBorder="1" applyAlignment="1">
      <alignment horizontal="right" vertical="center"/>
    </xf>
    <xf numFmtId="0" fontId="60" fillId="2" borderId="1" xfId="0" applyFont="1" applyFill="1" applyBorder="1" applyAlignment="1">
      <alignment vertical="center"/>
    </xf>
    <xf numFmtId="0" fontId="62" fillId="2" borderId="1" xfId="0" applyFont="1" applyFill="1" applyBorder="1" applyAlignment="1">
      <alignment vertical="center"/>
    </xf>
    <xf numFmtId="2" fontId="59" fillId="2" borderId="1" xfId="0" applyNumberFormat="1" applyFont="1" applyFill="1" applyBorder="1" applyAlignment="1">
      <alignment horizontal="center" vertical="center"/>
    </xf>
    <xf numFmtId="0" fontId="60" fillId="2" borderId="0" xfId="0" applyFont="1" applyFill="1" applyAlignment="1">
      <alignment horizontal="right" vertical="center"/>
    </xf>
    <xf numFmtId="2" fontId="60" fillId="2" borderId="0" xfId="0" applyNumberFormat="1" applyFont="1" applyFill="1" applyAlignment="1">
      <alignment vertical="center"/>
    </xf>
    <xf numFmtId="0" fontId="59" fillId="2" borderId="0" xfId="0" applyFont="1" applyFill="1" applyAlignment="1">
      <alignment vertical="center"/>
    </xf>
    <xf numFmtId="2" fontId="59" fillId="2" borderId="0" xfId="0" applyNumberFormat="1" applyFont="1" applyFill="1" applyAlignment="1">
      <alignment vertical="center"/>
    </xf>
    <xf numFmtId="2" fontId="63" fillId="2" borderId="1" xfId="0" applyNumberFormat="1" applyFont="1" applyFill="1" applyBorder="1" applyAlignment="1">
      <alignment horizontal="right" vertical="center"/>
    </xf>
    <xf numFmtId="2" fontId="59" fillId="2" borderId="4" xfId="0" applyNumberFormat="1" applyFont="1" applyFill="1" applyBorder="1" applyAlignment="1">
      <alignment horizontal="right" vertical="center"/>
    </xf>
    <xf numFmtId="0" fontId="62" fillId="2" borderId="2" xfId="0" applyFont="1" applyFill="1" applyBorder="1" applyAlignment="1">
      <alignment vertical="center"/>
    </xf>
    <xf numFmtId="0" fontId="59" fillId="2" borderId="2" xfId="0" applyFont="1" applyFill="1" applyBorder="1" applyAlignment="1">
      <alignment vertical="center"/>
    </xf>
    <xf numFmtId="0" fontId="55" fillId="0" borderId="23" xfId="0" applyFont="1" applyBorder="1" applyAlignment="1">
      <alignment vertical="center"/>
    </xf>
    <xf numFmtId="0" fontId="55" fillId="0" borderId="0" xfId="0" applyFont="1" applyAlignment="1">
      <alignment vertical="center"/>
    </xf>
    <xf numFmtId="0" fontId="54" fillId="0" borderId="0" xfId="0" applyFont="1" applyAlignment="1">
      <alignment vertical="center" wrapText="1"/>
    </xf>
    <xf numFmtId="0" fontId="64" fillId="0" borderId="0" xfId="0" applyFont="1" applyAlignment="1">
      <alignment horizontal="left" vertical="center" indent="2"/>
    </xf>
    <xf numFmtId="0" fontId="54" fillId="2" borderId="0" xfId="0" applyFont="1" applyFill="1"/>
    <xf numFmtId="0" fontId="54" fillId="2" borderId="0" xfId="0" applyFont="1" applyFill="1" applyAlignment="1">
      <alignment vertical="top" wrapText="1"/>
    </xf>
    <xf numFmtId="0" fontId="54" fillId="2" borderId="0" xfId="0" applyFont="1" applyFill="1" applyBorder="1" applyAlignment="1">
      <alignment vertical="top" wrapText="1"/>
    </xf>
    <xf numFmtId="0" fontId="54" fillId="2" borderId="0" xfId="0" applyFont="1" applyFill="1" applyBorder="1" applyAlignment="1">
      <alignment horizontal="left" vertical="top" wrapText="1"/>
    </xf>
    <xf numFmtId="0" fontId="57" fillId="2" borderId="1" xfId="0" applyFont="1" applyFill="1" applyBorder="1" applyAlignment="1">
      <alignment horizontal="left" vertical="top" wrapText="1"/>
    </xf>
    <xf numFmtId="0" fontId="54" fillId="2" borderId="1" xfId="0" applyFont="1" applyFill="1" applyBorder="1" applyAlignment="1">
      <alignment horizontal="left" vertical="top" wrapText="1"/>
    </xf>
    <xf numFmtId="0" fontId="54" fillId="2" borderId="1" xfId="0" applyNumberFormat="1" applyFont="1" applyFill="1" applyBorder="1" applyAlignment="1">
      <alignment horizontal="left" vertical="top" wrapText="1"/>
    </xf>
    <xf numFmtId="166" fontId="54" fillId="2" borderId="1" xfId="0" applyNumberFormat="1" applyFont="1" applyFill="1" applyBorder="1" applyAlignment="1">
      <alignment horizontal="left" vertical="top" wrapText="1"/>
    </xf>
    <xf numFmtId="2" fontId="54" fillId="2" borderId="1" xfId="0" applyNumberFormat="1" applyFont="1" applyFill="1" applyBorder="1" applyAlignment="1">
      <alignment horizontal="left" vertical="top" wrapText="1"/>
    </xf>
    <xf numFmtId="0" fontId="54" fillId="2" borderId="1" xfId="0" applyFont="1" applyFill="1" applyBorder="1" applyAlignment="1">
      <alignment vertical="center" wrapText="1"/>
    </xf>
    <xf numFmtId="0" fontId="16" fillId="2" borderId="0" xfId="0" applyFont="1" applyFill="1" applyAlignment="1">
      <alignment horizontal="center" wrapText="1"/>
    </xf>
    <xf numFmtId="0" fontId="38" fillId="2" borderId="0" xfId="0" applyFont="1" applyFill="1" applyAlignment="1">
      <alignment horizontal="left" vertical="top" wrapText="1"/>
    </xf>
    <xf numFmtId="0" fontId="16" fillId="2" borderId="0" xfId="0" applyFont="1" applyFill="1" applyAlignment="1">
      <alignment horizontal="left" vertical="top" wrapText="1"/>
    </xf>
    <xf numFmtId="0" fontId="5" fillId="0" borderId="0" xfId="0" applyFont="1" applyAlignment="1">
      <alignment horizontal="left" vertical="center" wrapText="1"/>
    </xf>
    <xf numFmtId="0" fontId="0" fillId="2" borderId="0" xfId="0" applyFill="1" applyAlignment="1">
      <alignment horizontal="left" wrapText="1"/>
    </xf>
    <xf numFmtId="0" fontId="19" fillId="0" borderId="0" xfId="0" applyFont="1" applyAlignment="1">
      <alignment horizontal="left" vertical="center" wrapText="1"/>
    </xf>
    <xf numFmtId="0" fontId="0" fillId="2" borderId="9" xfId="0" applyFill="1" applyBorder="1" applyAlignment="1">
      <alignment horizontal="left" vertical="center" wrapText="1"/>
    </xf>
    <xf numFmtId="0" fontId="0" fillId="2" borderId="9" xfId="0" applyFont="1" applyFill="1" applyBorder="1" applyAlignment="1">
      <alignment horizontal="left" wrapText="1"/>
    </xf>
    <xf numFmtId="0" fontId="5" fillId="2" borderId="0" xfId="0" applyFont="1" applyFill="1" applyAlignment="1">
      <alignment horizontal="left" wrapText="1"/>
    </xf>
    <xf numFmtId="0" fontId="19" fillId="0" borderId="0" xfId="0" applyFont="1" applyAlignment="1">
      <alignment horizontal="left" wrapText="1"/>
    </xf>
    <xf numFmtId="0" fontId="19" fillId="2" borderId="0" xfId="0" applyFont="1" applyFill="1" applyAlignment="1">
      <alignment horizontal="left" vertical="center" wrapText="1"/>
    </xf>
    <xf numFmtId="0" fontId="30" fillId="2" borderId="0" xfId="0" applyFont="1" applyFill="1" applyAlignment="1">
      <alignment horizontal="left" vertical="top" wrapText="1"/>
    </xf>
    <xf numFmtId="0" fontId="31" fillId="0" borderId="20"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14"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15" xfId="0" applyFont="1" applyBorder="1" applyAlignment="1">
      <alignment horizontal="center" vertical="center" wrapText="1"/>
    </xf>
    <xf numFmtId="0" fontId="31" fillId="0" borderId="20" xfId="0" applyFont="1" applyBorder="1" applyAlignment="1">
      <alignment horizontal="left" vertical="center" wrapText="1"/>
    </xf>
    <xf numFmtId="0" fontId="31" fillId="0" borderId="14" xfId="0" applyFont="1" applyBorder="1" applyAlignment="1">
      <alignment horizontal="left" vertical="center" wrapText="1"/>
    </xf>
    <xf numFmtId="0" fontId="31" fillId="0" borderId="20" xfId="0" applyFont="1" applyBorder="1" applyAlignment="1">
      <alignment horizontal="right" vertical="center" wrapText="1"/>
    </xf>
    <xf numFmtId="0" fontId="31" fillId="0" borderId="14" xfId="0" applyFont="1" applyBorder="1" applyAlignment="1">
      <alignment horizontal="right" vertical="center" wrapText="1"/>
    </xf>
    <xf numFmtId="0" fontId="31" fillId="0" borderId="20" xfId="0" applyFont="1" applyBorder="1" applyAlignment="1">
      <alignment horizontal="justify" vertical="center" wrapText="1"/>
    </xf>
    <xf numFmtId="0" fontId="31" fillId="0" borderId="14" xfId="0" applyFont="1" applyBorder="1" applyAlignment="1">
      <alignment horizontal="justify" vertical="center" wrapText="1"/>
    </xf>
    <xf numFmtId="0" fontId="2" fillId="2" borderId="0" xfId="0" applyFont="1" applyFill="1" applyAlignment="1">
      <alignment vertical="top"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21" xfId="0" applyFont="1" applyBorder="1" applyAlignment="1">
      <alignment horizontal="left" vertical="top" wrapText="1"/>
    </xf>
    <xf numFmtId="0" fontId="32" fillId="0" borderId="15" xfId="0" applyFont="1" applyBorder="1" applyAlignment="1">
      <alignment horizontal="left" vertical="top" wrapText="1"/>
    </xf>
    <xf numFmtId="0" fontId="32" fillId="0" borderId="20" xfId="0" applyFont="1" applyBorder="1" applyAlignment="1">
      <alignment horizontal="right" vertical="center" wrapText="1"/>
    </xf>
    <xf numFmtId="0" fontId="32" fillId="0" borderId="14" xfId="0" applyFont="1" applyBorder="1" applyAlignment="1">
      <alignment horizontal="right" vertical="center" wrapText="1"/>
    </xf>
    <xf numFmtId="0" fontId="32" fillId="0" borderId="20" xfId="0" applyFont="1" applyBorder="1" applyAlignment="1">
      <alignment horizontal="left" vertical="top" wrapText="1"/>
    </xf>
    <xf numFmtId="0" fontId="32" fillId="0" borderId="14" xfId="0" applyFont="1" applyBorder="1" applyAlignment="1">
      <alignment horizontal="left" vertical="top" wrapText="1"/>
    </xf>
    <xf numFmtId="0" fontId="2" fillId="2" borderId="0" xfId="0" applyFont="1" applyFill="1" applyAlignment="1">
      <alignment horizontal="left" vertical="top" wrapText="1"/>
    </xf>
    <xf numFmtId="0" fontId="1" fillId="2" borderId="18" xfId="0" applyFont="1" applyFill="1" applyBorder="1" applyAlignment="1">
      <alignment horizontal="left" vertical="top" wrapText="1"/>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0" applyFont="1" applyFill="1" applyAlignment="1">
      <alignment horizontal="left" vertical="top" wrapText="1"/>
    </xf>
    <xf numFmtId="0" fontId="5" fillId="2" borderId="1" xfId="0" applyFont="1" applyFill="1" applyBorder="1" applyAlignment="1">
      <alignment horizontal="left" wrapText="1"/>
    </xf>
    <xf numFmtId="0" fontId="19" fillId="2" borderId="0" xfId="0" applyFont="1" applyFill="1" applyAlignment="1">
      <alignment horizontal="center" wrapText="1"/>
    </xf>
    <xf numFmtId="0" fontId="16" fillId="2" borderId="11" xfId="0" applyFont="1" applyFill="1" applyBorder="1" applyAlignment="1">
      <alignment horizontal="left" vertical="top" wrapText="1"/>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5" fillId="0" borderId="0" xfId="0" applyFont="1" applyAlignment="1">
      <alignment horizontal="center" vertical="center"/>
    </xf>
    <xf numFmtId="0" fontId="24" fillId="0" borderId="8" xfId="0" applyFont="1" applyBorder="1" applyAlignment="1">
      <alignment horizontal="center" vertical="center" wrapText="1"/>
    </xf>
    <xf numFmtId="0" fontId="24" fillId="0" borderId="0" xfId="0" applyFont="1" applyBorder="1" applyAlignment="1">
      <alignment horizontal="center" vertical="center" wrapText="1"/>
    </xf>
    <xf numFmtId="0" fontId="0" fillId="2" borderId="0" xfId="0" applyFill="1" applyAlignment="1">
      <alignment horizontal="left" vertical="top" wrapText="1"/>
    </xf>
    <xf numFmtId="2" fontId="5" fillId="2" borderId="2" xfId="0" applyNumberFormat="1" applyFont="1" applyFill="1" applyBorder="1" applyAlignment="1">
      <alignment horizontal="right"/>
    </xf>
    <xf numFmtId="2" fontId="5" fillId="2" borderId="10" xfId="0" applyNumberFormat="1" applyFont="1" applyFill="1" applyBorder="1" applyAlignment="1">
      <alignment horizontal="right"/>
    </xf>
    <xf numFmtId="2" fontId="5" fillId="2" borderId="3" xfId="0" applyNumberFormat="1" applyFont="1" applyFill="1" applyBorder="1" applyAlignment="1">
      <alignment horizontal="right"/>
    </xf>
    <xf numFmtId="0" fontId="5" fillId="2" borderId="2" xfId="0" applyFont="1" applyFill="1" applyBorder="1" applyAlignment="1">
      <alignment horizontal="right"/>
    </xf>
    <xf numFmtId="0" fontId="5" fillId="2" borderId="10"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center"/>
    </xf>
    <xf numFmtId="2" fontId="5" fillId="2" borderId="2" xfId="0" applyNumberFormat="1" applyFont="1" applyFill="1" applyBorder="1" applyAlignment="1">
      <alignment horizontal="left" vertical="top" wrapText="1"/>
    </xf>
    <xf numFmtId="2" fontId="5" fillId="2" borderId="3" xfId="0" applyNumberFormat="1" applyFont="1" applyFill="1" applyBorder="1" applyAlignment="1">
      <alignment horizontal="left" vertical="top" wrapText="1"/>
    </xf>
    <xf numFmtId="0" fontId="36" fillId="0" borderId="2" xfId="0" applyFont="1" applyBorder="1" applyAlignment="1">
      <alignment horizontal="left" vertical="top"/>
    </xf>
    <xf numFmtId="0" fontId="36" fillId="0" borderId="3" xfId="0" applyFont="1" applyBorder="1" applyAlignment="1">
      <alignment horizontal="left" vertical="top"/>
    </xf>
    <xf numFmtId="0" fontId="36" fillId="2" borderId="0" xfId="0" applyFont="1" applyFill="1" applyAlignment="1">
      <alignment horizontal="left" vertical="top" wrapText="1"/>
    </xf>
    <xf numFmtId="0" fontId="34" fillId="2" borderId="9" xfId="0" applyFont="1" applyFill="1" applyBorder="1" applyAlignment="1">
      <alignment horizontal="left" vertical="top" wrapText="1"/>
    </xf>
    <xf numFmtId="0" fontId="34" fillId="2" borderId="0" xfId="0" applyFont="1" applyFill="1" applyAlignment="1">
      <alignment horizontal="left" vertical="top" wrapText="1"/>
    </xf>
    <xf numFmtId="0" fontId="59" fillId="2" borderId="11" xfId="0" applyFont="1" applyFill="1" applyBorder="1" applyAlignment="1">
      <alignment horizontal="center" vertical="center" wrapText="1"/>
    </xf>
    <xf numFmtId="0" fontId="65" fillId="0" borderId="0" xfId="0" applyFont="1" applyAlignment="1">
      <alignment horizontal="center" vertical="center" wrapText="1"/>
    </xf>
    <xf numFmtId="0" fontId="55" fillId="0" borderId="24" xfId="0" applyFont="1" applyBorder="1" applyAlignment="1">
      <alignment horizontal="left" vertical="center"/>
    </xf>
    <xf numFmtId="0" fontId="57" fillId="2" borderId="2" xfId="0" applyFont="1" applyFill="1" applyBorder="1" applyAlignment="1">
      <alignment horizontal="center" vertical="center" wrapText="1"/>
    </xf>
    <xf numFmtId="0" fontId="57" fillId="2" borderId="3" xfId="0" applyFont="1" applyFill="1" applyBorder="1" applyAlignment="1">
      <alignment horizontal="center" vertical="center" wrapText="1"/>
    </xf>
    <xf numFmtId="0" fontId="57" fillId="2" borderId="25" xfId="0" applyFont="1" applyFill="1" applyBorder="1" applyAlignment="1">
      <alignment horizontal="left" vertical="center" wrapText="1"/>
    </xf>
    <xf numFmtId="0" fontId="59" fillId="2" borderId="0" xfId="0" applyFont="1" applyFill="1" applyAlignment="1">
      <alignment horizontal="left" vertical="center"/>
    </xf>
    <xf numFmtId="0" fontId="59" fillId="2" borderId="0" xfId="0" applyFont="1" applyFill="1" applyAlignment="1">
      <alignment horizontal="center" vertical="center"/>
    </xf>
    <xf numFmtId="0" fontId="54" fillId="2" borderId="0" xfId="0" applyFont="1" applyFill="1" applyAlignment="1">
      <alignment vertical="top" wrapText="1"/>
    </xf>
    <xf numFmtId="0" fontId="0" fillId="0" borderId="0" xfId="0" applyAlignment="1">
      <alignment vertical="top" wrapText="1"/>
    </xf>
    <xf numFmtId="0" fontId="54" fillId="2" borderId="0" xfId="0" applyFont="1" applyFill="1" applyBorder="1" applyAlignment="1">
      <alignment vertical="top" wrapText="1"/>
    </xf>
    <xf numFmtId="0" fontId="54" fillId="2" borderId="0" xfId="0" applyFont="1" applyFill="1" applyBorder="1" applyAlignment="1">
      <alignment horizontal="left" vertical="top" wrapText="1"/>
    </xf>
    <xf numFmtId="0" fontId="0" fillId="0" borderId="0" xfId="0" applyAlignment="1">
      <alignment horizontal="left" vertical="top" wrapText="1"/>
    </xf>
    <xf numFmtId="0" fontId="49" fillId="2" borderId="11" xfId="0" applyFont="1" applyFill="1" applyBorder="1" applyAlignment="1">
      <alignment horizontal="left" vertical="top" wrapText="1"/>
    </xf>
    <xf numFmtId="0" fontId="49" fillId="0" borderId="2" xfId="0" applyFont="1" applyBorder="1" applyAlignment="1">
      <alignment horizontal="left" vertical="top"/>
    </xf>
    <xf numFmtId="0" fontId="49" fillId="0" borderId="3" xfId="0" applyFont="1" applyBorder="1" applyAlignment="1">
      <alignment horizontal="left" vertical="top"/>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4" xfId="0" applyFont="1" applyBorder="1" applyAlignment="1">
      <alignment horizontal="center" vertical="center"/>
    </xf>
    <xf numFmtId="0" fontId="4" fillId="0" borderId="11" xfId="0" applyFont="1" applyBorder="1" applyAlignment="1">
      <alignment horizontal="center" vertical="center"/>
    </xf>
    <xf numFmtId="0" fontId="4" fillId="0" borderId="30" xfId="0" applyFont="1" applyBorder="1" applyAlignment="1">
      <alignment horizontal="center" vertical="center"/>
    </xf>
    <xf numFmtId="0" fontId="5" fillId="2" borderId="2"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38" fillId="2" borderId="0" xfId="0" applyFont="1" applyFill="1" applyAlignment="1">
      <alignment horizontal="left" vertical="top"/>
    </xf>
    <xf numFmtId="0" fontId="40" fillId="2" borderId="0" xfId="0" applyFont="1" applyFill="1" applyAlignment="1">
      <alignment horizontal="left" vertical="top" wrapText="1"/>
    </xf>
    <xf numFmtId="0" fontId="39" fillId="2" borderId="0" xfId="0" applyFont="1" applyFill="1" applyAlignment="1">
      <alignment horizontal="left" vertical="top" wrapText="1"/>
    </xf>
    <xf numFmtId="0" fontId="39" fillId="2" borderId="2" xfId="0" applyFont="1" applyFill="1" applyBorder="1" applyAlignment="1">
      <alignment horizontal="left" vertical="top"/>
    </xf>
    <xf numFmtId="0" fontId="39" fillId="2" borderId="3" xfId="0" applyFont="1" applyFill="1" applyBorder="1" applyAlignment="1">
      <alignment horizontal="left" vertical="top"/>
    </xf>
    <xf numFmtId="0" fontId="39" fillId="2" borderId="4" xfId="0" applyFont="1" applyFill="1" applyBorder="1" applyAlignment="1">
      <alignment horizontal="left" vertical="top"/>
    </xf>
    <xf numFmtId="0" fontId="39" fillId="2" borderId="5" xfId="0" applyFont="1" applyFill="1" applyBorder="1" applyAlignment="1">
      <alignment horizontal="left" vertical="top"/>
    </xf>
    <xf numFmtId="0" fontId="38" fillId="2" borderId="2" xfId="0" applyFont="1" applyFill="1" applyBorder="1" applyAlignment="1">
      <alignment horizontal="left" vertical="top"/>
    </xf>
    <xf numFmtId="0" fontId="38" fillId="2" borderId="3" xfId="0" applyFont="1" applyFill="1" applyBorder="1" applyAlignment="1">
      <alignment horizontal="left" vertical="top"/>
    </xf>
    <xf numFmtId="0" fontId="39" fillId="2" borderId="8" xfId="0" applyFont="1" applyFill="1" applyBorder="1" applyAlignment="1">
      <alignment horizontal="left" vertical="top"/>
    </xf>
    <xf numFmtId="0" fontId="39" fillId="2" borderId="12" xfId="0" applyFont="1" applyFill="1" applyBorder="1" applyAlignment="1">
      <alignment horizontal="left" vertical="top"/>
    </xf>
    <xf numFmtId="0" fontId="39" fillId="2" borderId="1" xfId="0" applyFont="1" applyFill="1" applyBorder="1" applyAlignment="1">
      <alignment horizontal="left" vertical="top"/>
    </xf>
    <xf numFmtId="1" fontId="39" fillId="2" borderId="1" xfId="0" applyNumberFormat="1" applyFont="1" applyFill="1" applyBorder="1" applyAlignment="1">
      <alignment horizontal="left" vertical="top"/>
    </xf>
    <xf numFmtId="0" fontId="38" fillId="2" borderId="1" xfId="0" applyFont="1" applyFill="1" applyBorder="1" applyAlignment="1">
      <alignment horizontal="left" vertical="top"/>
    </xf>
    <xf numFmtId="1" fontId="39" fillId="2" borderId="2" xfId="0" applyNumberFormat="1" applyFont="1" applyFill="1" applyBorder="1" applyAlignment="1">
      <alignment horizontal="left" vertical="top"/>
    </xf>
    <xf numFmtId="1" fontId="39" fillId="2" borderId="10" xfId="0" applyNumberFormat="1" applyFont="1" applyFill="1" applyBorder="1" applyAlignment="1">
      <alignment horizontal="left" vertical="top"/>
    </xf>
    <xf numFmtId="1" fontId="39" fillId="2" borderId="3" xfId="0" applyNumberFormat="1" applyFont="1" applyFill="1" applyBorder="1" applyAlignment="1">
      <alignment horizontal="left" vertical="top"/>
    </xf>
    <xf numFmtId="2" fontId="39" fillId="2" borderId="2" xfId="0" applyNumberFormat="1" applyFont="1" applyFill="1" applyBorder="1" applyAlignment="1">
      <alignment horizontal="left" vertical="top"/>
    </xf>
    <xf numFmtId="2" fontId="39" fillId="2" borderId="10" xfId="0" applyNumberFormat="1" applyFont="1" applyFill="1" applyBorder="1" applyAlignment="1">
      <alignment horizontal="left" vertical="top"/>
    </xf>
    <xf numFmtId="2" fontId="39" fillId="2" borderId="3" xfId="0" applyNumberFormat="1" applyFont="1" applyFill="1" applyBorder="1" applyAlignment="1">
      <alignment horizontal="left" vertical="top"/>
    </xf>
    <xf numFmtId="0" fontId="38" fillId="2" borderId="1" xfId="0" applyFont="1" applyFill="1" applyBorder="1" applyAlignment="1">
      <alignment horizontal="left" vertical="top" wrapText="1"/>
    </xf>
    <xf numFmtId="1" fontId="38" fillId="2" borderId="1" xfId="0" applyNumberFormat="1" applyFont="1" applyFill="1" applyBorder="1" applyAlignment="1">
      <alignment horizontal="left" vertical="top"/>
    </xf>
    <xf numFmtId="1" fontId="38" fillId="2" borderId="1" xfId="0" applyNumberFormat="1" applyFont="1" applyFill="1" applyBorder="1" applyAlignment="1">
      <alignment horizontal="left" vertical="top" wrapText="1"/>
    </xf>
    <xf numFmtId="2" fontId="38" fillId="2" borderId="1" xfId="0" applyNumberFormat="1" applyFont="1" applyFill="1" applyBorder="1" applyAlignment="1">
      <alignment horizontal="left" vertical="top"/>
    </xf>
    <xf numFmtId="0" fontId="39" fillId="2" borderId="0" xfId="0" applyNumberFormat="1" applyFont="1" applyFill="1" applyAlignment="1">
      <alignment horizontal="left" vertical="top" wrapText="1"/>
    </xf>
    <xf numFmtId="1" fontId="39" fillId="2" borderId="4" xfId="0" applyNumberFormat="1" applyFont="1" applyFill="1" applyBorder="1" applyAlignment="1">
      <alignment horizontal="left" vertical="top"/>
    </xf>
    <xf numFmtId="1" fontId="39" fillId="2" borderId="5" xfId="0" applyNumberFormat="1" applyFont="1" applyFill="1" applyBorder="1" applyAlignment="1">
      <alignment horizontal="left" vertical="top"/>
    </xf>
    <xf numFmtId="1" fontId="39" fillId="2" borderId="8" xfId="0" applyNumberFormat="1" applyFont="1" applyFill="1" applyBorder="1" applyAlignment="1">
      <alignment horizontal="left" vertical="top"/>
    </xf>
    <xf numFmtId="1" fontId="39" fillId="2" borderId="12" xfId="0" applyNumberFormat="1" applyFont="1" applyFill="1" applyBorder="1" applyAlignment="1">
      <alignment horizontal="left" vertical="top"/>
    </xf>
    <xf numFmtId="0" fontId="39" fillId="2" borderId="0" xfId="0" applyFont="1" applyFill="1" applyAlignment="1">
      <alignment horizontal="left" vertical="top"/>
    </xf>
    <xf numFmtId="0" fontId="29" fillId="2" borderId="0" xfId="0" applyFont="1" applyFill="1" applyAlignment="1">
      <alignment horizontal="left" vertical="top" wrapText="1"/>
    </xf>
    <xf numFmtId="0" fontId="29" fillId="2" borderId="4" xfId="0" applyFont="1" applyFill="1" applyBorder="1" applyAlignment="1">
      <alignment horizontal="center" vertical="center" wrapText="1"/>
    </xf>
    <xf numFmtId="0" fontId="29" fillId="2" borderId="5" xfId="0" applyFont="1" applyFill="1" applyBorder="1" applyAlignment="1">
      <alignment horizontal="center" vertical="center" wrapText="1"/>
    </xf>
    <xf numFmtId="0" fontId="29" fillId="0" borderId="0" xfId="0" applyFont="1" applyAlignment="1">
      <alignment horizontal="left" vertical="top" wrapText="1"/>
    </xf>
    <xf numFmtId="0" fontId="0" fillId="2" borderId="0" xfId="0" applyFont="1" applyFill="1" applyAlignment="1">
      <alignment vertical="top" wrapText="1"/>
    </xf>
    <xf numFmtId="0" fontId="0" fillId="2" borderId="0" xfId="0" applyFont="1" applyFill="1" applyBorder="1" applyAlignment="1">
      <alignment vertical="top" wrapText="1"/>
    </xf>
    <xf numFmtId="0" fontId="12" fillId="2" borderId="0" xfId="0" applyFont="1" applyFill="1" applyAlignment="1">
      <alignment vertical="center" wrapText="1"/>
    </xf>
    <xf numFmtId="0" fontId="12" fillId="0" borderId="0" xfId="0" applyFont="1" applyAlignment="1">
      <alignment vertical="center" wrapText="1"/>
    </xf>
    <xf numFmtId="0" fontId="12" fillId="2" borderId="0" xfId="0" applyFont="1" applyFill="1" applyAlignment="1">
      <alignment wrapText="1"/>
    </xf>
    <xf numFmtId="0" fontId="12" fillId="0" borderId="0" xfId="0" applyFont="1" applyAlignment="1">
      <alignment wrapText="1"/>
    </xf>
  </cellXfs>
  <cellStyles count="13">
    <cellStyle name="Bad" xfId="2" builtinId="27"/>
    <cellStyle name="Comma" xfId="12" builtinId="3"/>
    <cellStyle name="Comma 2" xfId="4"/>
    <cellStyle name="Comma 2 2" xfId="5"/>
    <cellStyle name="Good" xfId="1" builtinId="26"/>
    <cellStyle name="Hyperlink" xfId="3" builtinId="8"/>
    <cellStyle name="Normal" xfId="0" builtinId="0"/>
    <cellStyle name="Normal 2" xfId="8"/>
    <cellStyle name="Normal 3" xfId="11"/>
    <cellStyle name="Normal 4 2" xfId="10"/>
    <cellStyle name="Normal 5" xfId="7"/>
    <cellStyle name="Normal 6" xfId="9"/>
    <cellStyle name="Percent" xfId="6" builtinId="5"/>
  </cellStyles>
  <dxfs count="0"/>
  <tableStyles count="0" defaultTableStyle="TableStyleMedium2" defaultPivotStyle="PivotStyleLight16"/>
  <colors>
    <mruColors>
      <color rgb="FFFFC7CE"/>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2:B26"/>
  <sheetViews>
    <sheetView workbookViewId="0">
      <selection activeCell="A21" activeCellId="2" sqref="A21 B21 A21"/>
    </sheetView>
  </sheetViews>
  <sheetFormatPr defaultColWidth="9.140625" defaultRowHeight="15"/>
  <cols>
    <col min="1" max="1" width="8.85546875" style="1" bestFit="1" customWidth="1"/>
    <col min="2" max="2" width="114" style="1" customWidth="1"/>
    <col min="3" max="16384" width="9.140625" style="1"/>
  </cols>
  <sheetData>
    <row r="2" spans="1:2">
      <c r="A2" s="2" t="s">
        <v>92</v>
      </c>
    </row>
    <row r="3" spans="1:2">
      <c r="A3" s="108" t="s">
        <v>93</v>
      </c>
      <c r="B3" s="102" t="s">
        <v>94</v>
      </c>
    </row>
    <row r="4" spans="1:2">
      <c r="A4" s="108" t="s">
        <v>95</v>
      </c>
      <c r="B4" s="102" t="s">
        <v>96</v>
      </c>
    </row>
    <row r="5" spans="1:2">
      <c r="A5" s="108" t="s">
        <v>97</v>
      </c>
      <c r="B5" s="102" t="s">
        <v>98</v>
      </c>
    </row>
    <row r="6" spans="1:2">
      <c r="A6" s="108" t="s">
        <v>99</v>
      </c>
      <c r="B6" s="103" t="s">
        <v>100</v>
      </c>
    </row>
    <row r="7" spans="1:2">
      <c r="A7" s="108" t="s">
        <v>101</v>
      </c>
      <c r="B7" s="102" t="s">
        <v>293</v>
      </c>
    </row>
    <row r="8" spans="1:2">
      <c r="A8" s="108" t="s">
        <v>102</v>
      </c>
      <c r="B8" s="102" t="s">
        <v>103</v>
      </c>
    </row>
    <row r="9" spans="1:2">
      <c r="A9" s="108" t="s">
        <v>294</v>
      </c>
      <c r="B9" s="102" t="s">
        <v>165</v>
      </c>
    </row>
    <row r="10" spans="1:2">
      <c r="A10" s="108" t="s">
        <v>295</v>
      </c>
      <c r="B10" s="102" t="s">
        <v>166</v>
      </c>
    </row>
    <row r="11" spans="1:2">
      <c r="A11" s="108" t="s">
        <v>104</v>
      </c>
      <c r="B11" s="103" t="s">
        <v>378</v>
      </c>
    </row>
    <row r="12" spans="1:2">
      <c r="A12" s="108" t="s">
        <v>105</v>
      </c>
      <c r="B12" s="52" t="s">
        <v>379</v>
      </c>
    </row>
    <row r="13" spans="1:2">
      <c r="A13" s="108" t="s">
        <v>235</v>
      </c>
      <c r="B13" s="1" t="s">
        <v>296</v>
      </c>
    </row>
    <row r="14" spans="1:2">
      <c r="A14" s="108" t="s">
        <v>376</v>
      </c>
      <c r="B14" s="1" t="s">
        <v>167</v>
      </c>
    </row>
    <row r="15" spans="1:2">
      <c r="A15" s="108" t="s">
        <v>123</v>
      </c>
      <c r="B15" s="1" t="s">
        <v>122</v>
      </c>
    </row>
    <row r="16" spans="1:2">
      <c r="A16" s="108" t="s">
        <v>124</v>
      </c>
      <c r="B16" s="1" t="s">
        <v>125</v>
      </c>
    </row>
    <row r="17" spans="1:2">
      <c r="A17" s="108" t="s">
        <v>126</v>
      </c>
      <c r="B17" s="1" t="s">
        <v>297</v>
      </c>
    </row>
    <row r="18" spans="1:2">
      <c r="A18" s="108" t="s">
        <v>127</v>
      </c>
      <c r="B18" s="1" t="s">
        <v>298</v>
      </c>
    </row>
    <row r="19" spans="1:2">
      <c r="A19" s="108" t="s">
        <v>234</v>
      </c>
      <c r="B19" s="1" t="s">
        <v>428</v>
      </c>
    </row>
    <row r="20" spans="1:2">
      <c r="A20" s="108" t="s">
        <v>486</v>
      </c>
      <c r="B20" s="1" t="s">
        <v>488</v>
      </c>
    </row>
    <row r="21" spans="1:2">
      <c r="A21" s="108" t="s">
        <v>487</v>
      </c>
      <c r="B21" s="1" t="s">
        <v>497</v>
      </c>
    </row>
    <row r="22" spans="1:2">
      <c r="A22" s="108" t="s">
        <v>500</v>
      </c>
      <c r="B22" s="1" t="s">
        <v>496</v>
      </c>
    </row>
    <row r="23" spans="1:2">
      <c r="A23" s="109" t="s">
        <v>501</v>
      </c>
      <c r="B23" s="1" t="s">
        <v>299</v>
      </c>
    </row>
    <row r="24" spans="1:2">
      <c r="A24" s="109" t="s">
        <v>502</v>
      </c>
      <c r="B24" s="1" t="s">
        <v>300</v>
      </c>
    </row>
    <row r="25" spans="1:2">
      <c r="A25" s="108" t="s">
        <v>179</v>
      </c>
      <c r="B25" s="1" t="s">
        <v>301</v>
      </c>
    </row>
    <row r="26" spans="1:2">
      <c r="A26" s="108" t="s">
        <v>180</v>
      </c>
      <c r="B26" s="1" t="s">
        <v>181</v>
      </c>
    </row>
  </sheetData>
  <hyperlinks>
    <hyperlink ref="A3" location="'10.1.1Α'!A1" display="10.1.1Α"/>
    <hyperlink ref="A4" location="'10.1.1Β'!A1" display="10.1.1Β"/>
    <hyperlink ref="A5" location="'10.1.1Γ'!A1" display="10.1.1Γ"/>
    <hyperlink ref="A6" location="'10.1.1Δ'!A1" display="10.1.1Δ"/>
    <hyperlink ref="A7" location="'10.1.1E'!A1" display="10.1.1E"/>
    <hyperlink ref="A8" location="'10.1.2Α'!A1" display="10.1.2Α"/>
    <hyperlink ref="A9" location="'10.1.2Β.1'!A1" display="10.1.2.Β1"/>
    <hyperlink ref="A10" location="'10.1.2Β.2'!A1" display="10.1.2Β.2"/>
    <hyperlink ref="A11" location="'10.1.3A'!A1" display="10.1.3A"/>
    <hyperlink ref="A12" location="'10.1.3B'!A1" display="10.1.3B"/>
    <hyperlink ref="A13" location="'10.1.4'!A1" display="10.1.4"/>
    <hyperlink ref="A14" location="'10.1.5'!A1" display="10.1.5"/>
    <hyperlink ref="A15" location="'10.1.6'!A1" display="10.1.6"/>
    <hyperlink ref="A16" location="'10.1.7'!A1" display="10.1.7"/>
    <hyperlink ref="A17" location="'10.1.8'!A1" display="10.1.8"/>
    <hyperlink ref="A18" location="'10.1.9'!A1" display="10.1.9"/>
    <hyperlink ref="A19" location="'10.1.10'!A1" display="10.1.10"/>
    <hyperlink ref="A23" location="'11.1'!A1" display="'11.1'!A1"/>
    <hyperlink ref="A24" location="'11.2'!A1" display="'11.2'!A1"/>
    <hyperlink ref="A25" location="'12.1.1'!A1" display="12.1.1"/>
    <hyperlink ref="A26" location="'12.1.2'!A1" display="12.1.2"/>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sheetPr codeName="Sheet10">
    <tabColor rgb="FF92D050"/>
    <pageSetUpPr fitToPage="1"/>
  </sheetPr>
  <dimension ref="A1:J19"/>
  <sheetViews>
    <sheetView workbookViewId="0">
      <selection activeCell="A9" sqref="A9:C9"/>
    </sheetView>
  </sheetViews>
  <sheetFormatPr defaultColWidth="9.140625" defaultRowHeight="15"/>
  <cols>
    <col min="1" max="1" width="15.140625" style="1" customWidth="1"/>
    <col min="2" max="2" width="41.42578125" style="1" customWidth="1"/>
    <col min="3" max="4" width="22.42578125" style="1" customWidth="1"/>
    <col min="5" max="5" width="9.140625" style="1"/>
    <col min="6" max="6" width="38.7109375" style="1" customWidth="1"/>
    <col min="7" max="7" width="17" style="1" customWidth="1"/>
    <col min="8" max="16384" width="9.140625" style="1"/>
  </cols>
  <sheetData>
    <row r="1" spans="1:10" ht="16.5" thickBot="1">
      <c r="A1" s="124" t="s">
        <v>377</v>
      </c>
      <c r="B1" s="125"/>
      <c r="C1" s="125"/>
      <c r="D1" s="125"/>
      <c r="E1" s="126" t="s">
        <v>70</v>
      </c>
      <c r="F1" s="127" t="s">
        <v>2</v>
      </c>
      <c r="G1" s="127" t="s">
        <v>131</v>
      </c>
      <c r="J1" s="111"/>
    </row>
    <row r="2" spans="1:10" ht="38.25" customHeight="1" thickBot="1">
      <c r="A2" s="325" t="s">
        <v>391</v>
      </c>
      <c r="B2" s="325"/>
      <c r="C2" s="325"/>
      <c r="D2" s="211"/>
      <c r="E2" s="128"/>
      <c r="F2" s="335" t="s">
        <v>380</v>
      </c>
      <c r="G2" s="336"/>
    </row>
    <row r="3" spans="1:10" ht="26.25" customHeight="1">
      <c r="A3" s="325" t="s">
        <v>242</v>
      </c>
      <c r="B3" s="325"/>
      <c r="C3" s="325"/>
      <c r="D3" s="211"/>
      <c r="E3" s="128"/>
      <c r="F3" s="129" t="s">
        <v>381</v>
      </c>
      <c r="G3" s="329">
        <v>19</v>
      </c>
    </row>
    <row r="4" spans="1:10" ht="39.75" customHeight="1" thickBot="1">
      <c r="A4" s="325" t="s">
        <v>392</v>
      </c>
      <c r="B4" s="325"/>
      <c r="C4" s="325"/>
      <c r="D4" s="211"/>
      <c r="E4" s="128"/>
      <c r="F4" s="130" t="s">
        <v>382</v>
      </c>
      <c r="G4" s="330"/>
    </row>
    <row r="5" spans="1:10" ht="93" customHeight="1">
      <c r="A5" s="325" t="s">
        <v>393</v>
      </c>
      <c r="B5" s="325"/>
      <c r="C5" s="325"/>
      <c r="D5" s="211"/>
      <c r="E5" s="128" t="s">
        <v>67</v>
      </c>
      <c r="F5" s="129" t="s">
        <v>429</v>
      </c>
      <c r="G5" s="329">
        <v>19</v>
      </c>
    </row>
    <row r="6" spans="1:10" ht="102.75" customHeight="1" thickBot="1">
      <c r="A6" s="325" t="s">
        <v>394</v>
      </c>
      <c r="B6" s="325"/>
      <c r="C6" s="325"/>
      <c r="D6" s="211"/>
      <c r="E6" s="131"/>
      <c r="F6" s="130" t="s">
        <v>382</v>
      </c>
      <c r="G6" s="330"/>
    </row>
    <row r="7" spans="1:10" ht="51.75" customHeight="1">
      <c r="A7" s="325" t="s">
        <v>395</v>
      </c>
      <c r="B7" s="325"/>
      <c r="C7" s="325"/>
      <c r="D7" s="211"/>
      <c r="E7" s="131"/>
      <c r="F7" s="132" t="s">
        <v>430</v>
      </c>
      <c r="G7" s="329">
        <v>71</v>
      </c>
    </row>
    <row r="8" spans="1:10" ht="0.75" customHeight="1" thickBot="1">
      <c r="E8" s="131"/>
      <c r="F8" s="130" t="s">
        <v>383</v>
      </c>
      <c r="G8" s="330"/>
    </row>
    <row r="9" spans="1:10" ht="24.75" customHeight="1" thickBot="1">
      <c r="A9" s="325" t="s">
        <v>452</v>
      </c>
      <c r="B9" s="325"/>
      <c r="C9" s="325"/>
      <c r="E9" s="133"/>
      <c r="F9" s="134" t="s">
        <v>10</v>
      </c>
      <c r="G9" s="135">
        <v>109</v>
      </c>
    </row>
    <row r="10" spans="1:10" ht="15.75" thickBot="1">
      <c r="E10" s="128" t="s">
        <v>36</v>
      </c>
      <c r="F10" s="331" t="s">
        <v>384</v>
      </c>
      <c r="G10" s="332"/>
    </row>
    <row r="11" spans="1:10" ht="25.5">
      <c r="E11" s="136" t="s">
        <v>6</v>
      </c>
      <c r="F11" s="129" t="s">
        <v>385</v>
      </c>
      <c r="G11" s="329">
        <v>308</v>
      </c>
    </row>
    <row r="12" spans="1:10" ht="15.75" thickBot="1">
      <c r="E12" s="137"/>
      <c r="F12" s="138" t="s">
        <v>386</v>
      </c>
      <c r="G12" s="330"/>
    </row>
    <row r="13" spans="1:10" ht="15.75" thickBot="1">
      <c r="E13" s="139"/>
      <c r="F13" s="140" t="s">
        <v>387</v>
      </c>
      <c r="G13" s="135">
        <v>308</v>
      </c>
    </row>
    <row r="14" spans="1:10" ht="15.75" thickBot="1">
      <c r="E14" s="333" t="s">
        <v>243</v>
      </c>
      <c r="F14" s="334"/>
      <c r="G14" s="135">
        <v>417</v>
      </c>
    </row>
    <row r="15" spans="1:10" ht="15.75" thickBot="1">
      <c r="E15" s="326" t="s">
        <v>397</v>
      </c>
      <c r="F15" s="327"/>
      <c r="G15" s="328"/>
    </row>
    <row r="16" spans="1:10" ht="15.75" thickBot="1">
      <c r="E16" s="326" t="s">
        <v>388</v>
      </c>
      <c r="F16" s="327"/>
      <c r="G16" s="328"/>
    </row>
    <row r="17" spans="5:7" ht="15.75" thickBot="1">
      <c r="E17" s="326" t="s">
        <v>389</v>
      </c>
      <c r="F17" s="327"/>
      <c r="G17" s="328"/>
    </row>
    <row r="18" spans="5:7" ht="15.75" thickBot="1">
      <c r="E18" s="326" t="s">
        <v>396</v>
      </c>
      <c r="F18" s="327"/>
      <c r="G18" s="328"/>
    </row>
    <row r="19" spans="5:7" ht="15.75" thickBot="1">
      <c r="E19" s="326" t="s">
        <v>390</v>
      </c>
      <c r="F19" s="327"/>
      <c r="G19" s="328"/>
    </row>
  </sheetData>
  <mergeCells count="19">
    <mergeCell ref="A2:C2"/>
    <mergeCell ref="A3:C3"/>
    <mergeCell ref="A4:C4"/>
    <mergeCell ref="A5:C5"/>
    <mergeCell ref="G7:G8"/>
    <mergeCell ref="A6:C6"/>
    <mergeCell ref="A7:C7"/>
    <mergeCell ref="F2:G2"/>
    <mergeCell ref="G3:G4"/>
    <mergeCell ref="G5:G6"/>
    <mergeCell ref="A9:C9"/>
    <mergeCell ref="E17:G17"/>
    <mergeCell ref="E18:G18"/>
    <mergeCell ref="E19:G19"/>
    <mergeCell ref="G11:G12"/>
    <mergeCell ref="F10:G10"/>
    <mergeCell ref="E14:F14"/>
    <mergeCell ref="E15:G15"/>
    <mergeCell ref="E16:G16"/>
  </mergeCells>
  <pageMargins left="0.70866141732283472" right="0.70866141732283472" top="0.74803149606299213" bottom="0.74803149606299213" header="0.31496062992125984" footer="0.31496062992125984"/>
  <pageSetup paperSize="9" scale="68" orientation="landscape" r:id="rId1"/>
</worksheet>
</file>

<file path=xl/worksheets/sheet11.xml><?xml version="1.0" encoding="utf-8"?>
<worksheet xmlns="http://schemas.openxmlformats.org/spreadsheetml/2006/main" xmlns:r="http://schemas.openxmlformats.org/officeDocument/2006/relationships">
  <sheetPr codeName="Sheet11">
    <tabColor rgb="FF92D050"/>
    <pageSetUpPr fitToPage="1"/>
  </sheetPr>
  <dimension ref="A1:I40"/>
  <sheetViews>
    <sheetView topLeftCell="A13" workbookViewId="0">
      <selection activeCell="J21" sqref="J21"/>
    </sheetView>
  </sheetViews>
  <sheetFormatPr defaultColWidth="9.140625" defaultRowHeight="15"/>
  <cols>
    <col min="1" max="1" width="11.140625" style="1" customWidth="1"/>
    <col min="2" max="2" width="18" style="1" customWidth="1"/>
    <col min="3" max="3" width="21" style="1" customWidth="1"/>
    <col min="4" max="4" width="22" style="1" customWidth="1"/>
    <col min="5" max="5" width="18.28515625" style="1" customWidth="1"/>
    <col min="6" max="16384" width="9.140625" style="1"/>
  </cols>
  <sheetData>
    <row r="1" spans="1:9" ht="15.75">
      <c r="A1" s="68" t="s">
        <v>398</v>
      </c>
      <c r="I1" s="111"/>
    </row>
    <row r="2" spans="1:9" ht="66" customHeight="1">
      <c r="A2" s="347" t="s">
        <v>416</v>
      </c>
      <c r="B2" s="347"/>
      <c r="C2" s="347"/>
      <c r="D2" s="347"/>
      <c r="E2" s="347"/>
    </row>
    <row r="3" spans="1:9" ht="30.75" customHeight="1">
      <c r="A3" s="347" t="s">
        <v>399</v>
      </c>
      <c r="B3" s="347"/>
      <c r="C3" s="347"/>
      <c r="D3" s="347"/>
      <c r="E3" s="347"/>
    </row>
    <row r="4" spans="1:9" ht="94.5" customHeight="1" thickBot="1">
      <c r="A4" s="348" t="s">
        <v>431</v>
      </c>
      <c r="B4" s="348"/>
      <c r="C4" s="348"/>
      <c r="D4" s="348"/>
      <c r="E4" s="348"/>
    </row>
    <row r="5" spans="1:9" ht="45.75" thickBot="1">
      <c r="A5" s="113" t="s">
        <v>400</v>
      </c>
      <c r="B5" s="114" t="s">
        <v>401</v>
      </c>
      <c r="C5" s="114" t="s">
        <v>402</v>
      </c>
      <c r="D5" s="114" t="s">
        <v>403</v>
      </c>
      <c r="E5" s="114" t="s">
        <v>404</v>
      </c>
    </row>
    <row r="6" spans="1:9" ht="45.75" thickBot="1">
      <c r="A6" s="115" t="s">
        <v>405</v>
      </c>
      <c r="B6" s="116">
        <v>15.45</v>
      </c>
      <c r="C6" s="116">
        <v>100</v>
      </c>
      <c r="D6" s="117">
        <v>1545</v>
      </c>
      <c r="E6" s="116">
        <v>309</v>
      </c>
    </row>
    <row r="7" spans="1:9" ht="15.75" thickBot="1">
      <c r="A7" s="115" t="s">
        <v>406</v>
      </c>
      <c r="B7" s="116">
        <v>7.75</v>
      </c>
      <c r="C7" s="116">
        <v>250</v>
      </c>
      <c r="D7" s="118">
        <v>1937.5</v>
      </c>
      <c r="E7" s="116">
        <v>387.5</v>
      </c>
    </row>
    <row r="8" spans="1:9" ht="16.5" thickBot="1">
      <c r="A8" s="115"/>
      <c r="B8" s="119"/>
      <c r="C8" s="119"/>
      <c r="D8" s="120" t="s">
        <v>407</v>
      </c>
      <c r="E8" s="112">
        <v>348.25</v>
      </c>
    </row>
    <row r="9" spans="1:9" ht="15.75">
      <c r="A9" s="121"/>
      <c r="B9" s="121"/>
      <c r="C9" s="121"/>
      <c r="D9" s="122"/>
      <c r="E9" s="123"/>
    </row>
    <row r="10" spans="1:9" ht="35.25" customHeight="1">
      <c r="A10" s="337" t="s">
        <v>408</v>
      </c>
      <c r="B10" s="337"/>
      <c r="C10" s="337"/>
      <c r="D10" s="337"/>
      <c r="E10" s="337"/>
    </row>
    <row r="11" spans="1:9" ht="51" customHeight="1">
      <c r="A11" s="337" t="s">
        <v>409</v>
      </c>
      <c r="B11" s="337"/>
      <c r="C11" s="337"/>
      <c r="D11" s="337"/>
      <c r="E11" s="337"/>
    </row>
    <row r="12" spans="1:9" ht="64.5" customHeight="1">
      <c r="A12" s="337" t="s">
        <v>410</v>
      </c>
      <c r="B12" s="337"/>
      <c r="C12" s="337"/>
      <c r="D12" s="337"/>
      <c r="E12" s="337"/>
    </row>
    <row r="13" spans="1:9" ht="48" customHeight="1">
      <c r="A13" s="337" t="s">
        <v>411</v>
      </c>
      <c r="B13" s="337"/>
      <c r="C13" s="337"/>
      <c r="D13" s="337"/>
      <c r="E13" s="337"/>
    </row>
    <row r="14" spans="1:9" ht="32.25" customHeight="1">
      <c r="A14" s="337" t="s">
        <v>412</v>
      </c>
      <c r="B14" s="337"/>
      <c r="C14" s="337"/>
      <c r="D14" s="337"/>
      <c r="E14" s="337"/>
    </row>
    <row r="15" spans="1:9" ht="58.5" customHeight="1">
      <c r="A15" s="337" t="s">
        <v>413</v>
      </c>
      <c r="B15" s="337"/>
      <c r="C15" s="337"/>
      <c r="D15" s="337"/>
      <c r="E15" s="337"/>
    </row>
    <row r="16" spans="1:9" ht="30" customHeight="1">
      <c r="A16" s="337" t="s">
        <v>414</v>
      </c>
      <c r="B16" s="337"/>
      <c r="C16" s="337"/>
      <c r="D16" s="337"/>
      <c r="E16" s="337"/>
    </row>
    <row r="17" spans="1:5" ht="62.25" customHeight="1">
      <c r="A17" s="337" t="s">
        <v>415</v>
      </c>
      <c r="B17" s="337"/>
      <c r="C17" s="337"/>
      <c r="D17" s="337"/>
      <c r="E17" s="337"/>
    </row>
    <row r="18" spans="1:5" ht="36.75" customHeight="1" thickBot="1">
      <c r="A18" s="337" t="s">
        <v>452</v>
      </c>
      <c r="B18" s="337"/>
      <c r="C18" s="337"/>
      <c r="D18" s="337"/>
      <c r="E18" s="337"/>
    </row>
    <row r="19" spans="1:5" ht="26.25" thickBot="1">
      <c r="A19" s="143" t="s">
        <v>70</v>
      </c>
      <c r="B19" s="145" t="s">
        <v>2</v>
      </c>
      <c r="C19" s="145" t="s">
        <v>131</v>
      </c>
    </row>
    <row r="20" spans="1:5" ht="15.75" thickBot="1">
      <c r="A20" s="136"/>
      <c r="B20" s="345" t="s">
        <v>380</v>
      </c>
      <c r="C20" s="346"/>
    </row>
    <row r="21" spans="1:5" ht="51">
      <c r="A21" s="136"/>
      <c r="B21" s="142" t="s">
        <v>381</v>
      </c>
      <c r="C21" s="341">
        <v>42.1</v>
      </c>
    </row>
    <row r="22" spans="1:5" ht="15.75" thickBot="1">
      <c r="A22" s="136"/>
      <c r="B22" s="144" t="s">
        <v>417</v>
      </c>
      <c r="C22" s="342"/>
    </row>
    <row r="23" spans="1:5" ht="89.25">
      <c r="A23" s="136" t="s">
        <v>67</v>
      </c>
      <c r="B23" s="142" t="s">
        <v>432</v>
      </c>
      <c r="C23" s="341">
        <v>42.1</v>
      </c>
    </row>
    <row r="24" spans="1:5" ht="15.75" thickBot="1">
      <c r="A24" s="131"/>
      <c r="B24" s="144" t="s">
        <v>417</v>
      </c>
      <c r="C24" s="342"/>
    </row>
    <row r="25" spans="1:5" ht="51">
      <c r="A25" s="131"/>
      <c r="B25" s="142" t="s">
        <v>433</v>
      </c>
      <c r="C25" s="341">
        <v>157.9</v>
      </c>
    </row>
    <row r="26" spans="1:5" ht="15.75" thickBot="1">
      <c r="A26" s="131"/>
      <c r="B26" s="144" t="s">
        <v>418</v>
      </c>
      <c r="C26" s="342"/>
    </row>
    <row r="27" spans="1:5" ht="15.75" thickBot="1">
      <c r="A27" s="133"/>
      <c r="B27" s="144" t="s">
        <v>10</v>
      </c>
      <c r="C27" s="144">
        <v>242.1</v>
      </c>
    </row>
    <row r="28" spans="1:5" ht="15.75" thickBot="1">
      <c r="A28" s="136" t="s">
        <v>36</v>
      </c>
      <c r="B28" s="345" t="s">
        <v>384</v>
      </c>
      <c r="C28" s="346"/>
    </row>
    <row r="29" spans="1:5" ht="26.25" thickBot="1">
      <c r="A29" s="136" t="s">
        <v>6</v>
      </c>
      <c r="B29" s="142" t="s">
        <v>419</v>
      </c>
      <c r="C29" s="144">
        <v>348.25</v>
      </c>
    </row>
    <row r="30" spans="1:5" ht="38.25">
      <c r="A30" s="137"/>
      <c r="B30" s="142" t="s">
        <v>420</v>
      </c>
      <c r="C30" s="341">
        <v>29.7</v>
      </c>
    </row>
    <row r="31" spans="1:5" ht="26.25" thickBot="1">
      <c r="A31" s="137"/>
      <c r="B31" s="144" t="s">
        <v>421</v>
      </c>
      <c r="C31" s="342"/>
    </row>
    <row r="32" spans="1:5" ht="63.75">
      <c r="A32" s="137"/>
      <c r="B32" s="142" t="s">
        <v>422</v>
      </c>
      <c r="C32" s="341">
        <v>102.75</v>
      </c>
    </row>
    <row r="33" spans="1:3" ht="39" thickBot="1">
      <c r="A33" s="137"/>
      <c r="B33" s="144" t="s">
        <v>423</v>
      </c>
      <c r="C33" s="342"/>
    </row>
    <row r="34" spans="1:3" ht="15.75" thickBot="1">
      <c r="A34" s="139"/>
      <c r="B34" s="144" t="s">
        <v>10</v>
      </c>
      <c r="C34" s="144">
        <v>480.7</v>
      </c>
    </row>
    <row r="35" spans="1:3" ht="15.75" thickBot="1">
      <c r="A35" s="343" t="s">
        <v>243</v>
      </c>
      <c r="B35" s="344"/>
      <c r="C35" s="141">
        <v>722.8</v>
      </c>
    </row>
    <row r="36" spans="1:3" ht="22.5" customHeight="1" thickBot="1">
      <c r="A36" s="338" t="s">
        <v>434</v>
      </c>
      <c r="B36" s="339"/>
      <c r="C36" s="340"/>
    </row>
    <row r="37" spans="1:3" ht="15.75" thickBot="1">
      <c r="A37" s="338" t="s">
        <v>388</v>
      </c>
      <c r="B37" s="339"/>
      <c r="C37" s="340"/>
    </row>
    <row r="38" spans="1:3" ht="15.75" thickBot="1">
      <c r="A38" s="338" t="s">
        <v>424</v>
      </c>
      <c r="B38" s="339"/>
      <c r="C38" s="340"/>
    </row>
    <row r="39" spans="1:3" ht="15.75" thickBot="1">
      <c r="A39" s="338" t="s">
        <v>396</v>
      </c>
      <c r="B39" s="339"/>
      <c r="C39" s="340"/>
    </row>
    <row r="40" spans="1:3" ht="15.75" thickBot="1">
      <c r="A40" s="338" t="s">
        <v>425</v>
      </c>
      <c r="B40" s="339"/>
      <c r="C40" s="340"/>
    </row>
  </sheetData>
  <mergeCells count="25">
    <mergeCell ref="A17:E17"/>
    <mergeCell ref="A2:E2"/>
    <mergeCell ref="A3:E3"/>
    <mergeCell ref="A10:E10"/>
    <mergeCell ref="A11:E11"/>
    <mergeCell ref="A12:E12"/>
    <mergeCell ref="A13:E13"/>
    <mergeCell ref="A14:E14"/>
    <mergeCell ref="A15:E15"/>
    <mergeCell ref="A16:E16"/>
    <mergeCell ref="A4:E4"/>
    <mergeCell ref="A18:E18"/>
    <mergeCell ref="A38:C38"/>
    <mergeCell ref="A39:C39"/>
    <mergeCell ref="A40:C40"/>
    <mergeCell ref="C30:C31"/>
    <mergeCell ref="C32:C33"/>
    <mergeCell ref="A35:B35"/>
    <mergeCell ref="A36:C36"/>
    <mergeCell ref="A37:C37"/>
    <mergeCell ref="B20:C20"/>
    <mergeCell ref="C21:C22"/>
    <mergeCell ref="C23:C24"/>
    <mergeCell ref="C25:C26"/>
    <mergeCell ref="B28:C28"/>
  </mergeCells>
  <pageMargins left="0.7" right="0.7" top="0.75" bottom="0.75" header="0.3" footer="0.3"/>
  <pageSetup scale="71" fitToHeight="0" orientation="portrait" r:id="rId1"/>
</worksheet>
</file>

<file path=xl/worksheets/sheet12.xml><?xml version="1.0" encoding="utf-8"?>
<worksheet xmlns="http://schemas.openxmlformats.org/spreadsheetml/2006/main" xmlns:r="http://schemas.openxmlformats.org/officeDocument/2006/relationships">
  <sheetPr codeName="Sheet12">
    <tabColor rgb="FF92D050"/>
  </sheetPr>
  <dimension ref="A1:D8"/>
  <sheetViews>
    <sheetView workbookViewId="0">
      <selection activeCell="L4" sqref="L4"/>
    </sheetView>
  </sheetViews>
  <sheetFormatPr defaultColWidth="9.140625" defaultRowHeight="15"/>
  <cols>
    <col min="1" max="1" width="4.42578125" style="1" bestFit="1" customWidth="1"/>
    <col min="2" max="2" width="51.42578125" style="1" customWidth="1"/>
    <col min="3" max="3" width="16.7109375" style="1" customWidth="1"/>
    <col min="4" max="16384" width="9.140625" style="1"/>
  </cols>
  <sheetData>
    <row r="1" spans="1:4" ht="42.75" customHeight="1">
      <c r="A1" s="352" t="s">
        <v>253</v>
      </c>
      <c r="B1" s="352"/>
      <c r="C1" s="352"/>
      <c r="D1" s="352"/>
    </row>
    <row r="3" spans="1:4">
      <c r="A3" s="349" t="s">
        <v>70</v>
      </c>
      <c r="B3" s="351" t="s">
        <v>141</v>
      </c>
      <c r="C3" s="49" t="s">
        <v>131</v>
      </c>
    </row>
    <row r="4" spans="1:4">
      <c r="A4" s="350"/>
      <c r="B4" s="351"/>
      <c r="C4" s="32" t="s">
        <v>109</v>
      </c>
      <c r="D4" s="44"/>
    </row>
    <row r="5" spans="1:4" ht="45.75" customHeight="1">
      <c r="A5" s="34" t="s">
        <v>67</v>
      </c>
      <c r="B5" s="24" t="s">
        <v>156</v>
      </c>
      <c r="C5" s="30">
        <f>40*6.85</f>
        <v>274</v>
      </c>
      <c r="D5" s="45"/>
    </row>
    <row r="6" spans="1:4" ht="46.5" customHeight="1">
      <c r="A6" s="34" t="s">
        <v>11</v>
      </c>
      <c r="B6" s="24" t="s">
        <v>157</v>
      </c>
      <c r="C6" s="30">
        <f>90*6.85</f>
        <v>616.5</v>
      </c>
      <c r="D6" s="46"/>
    </row>
    <row r="7" spans="1:4">
      <c r="A7" s="34"/>
      <c r="B7" s="12" t="s">
        <v>69</v>
      </c>
      <c r="C7" s="33">
        <f>SUM(C5:C6)</f>
        <v>890.5</v>
      </c>
      <c r="D7" s="47"/>
    </row>
    <row r="8" spans="1:4">
      <c r="A8" s="48"/>
      <c r="B8" s="12" t="s">
        <v>132</v>
      </c>
      <c r="C8" s="50" t="s">
        <v>142</v>
      </c>
    </row>
  </sheetData>
  <mergeCells count="3">
    <mergeCell ref="A3:A4"/>
    <mergeCell ref="B3:B4"/>
    <mergeCell ref="A1:D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sheetPr codeName="Sheet13">
    <tabColor rgb="FF92D050"/>
    <pageSetUpPr fitToPage="1"/>
  </sheetPr>
  <dimension ref="A1:D24"/>
  <sheetViews>
    <sheetView workbookViewId="0">
      <selection activeCell="F5" sqref="F5"/>
    </sheetView>
  </sheetViews>
  <sheetFormatPr defaultColWidth="9.140625" defaultRowHeight="15"/>
  <cols>
    <col min="1" max="1" width="9.140625" style="1"/>
    <col min="2" max="2" width="48.28515625" style="1" customWidth="1"/>
    <col min="3" max="3" width="24.28515625" style="1" customWidth="1"/>
    <col min="4" max="16384" width="9.140625" style="1"/>
  </cols>
  <sheetData>
    <row r="1" spans="1:4" ht="32.25" customHeight="1">
      <c r="A1" s="355" t="s">
        <v>375</v>
      </c>
      <c r="B1" s="355"/>
      <c r="C1" s="355"/>
    </row>
    <row r="2" spans="1:4">
      <c r="A2" s="105" t="s">
        <v>70</v>
      </c>
      <c r="B2" s="105" t="s">
        <v>2</v>
      </c>
      <c r="C2" s="105" t="s">
        <v>131</v>
      </c>
    </row>
    <row r="3" spans="1:4" ht="45" customHeight="1">
      <c r="A3" s="3"/>
      <c r="B3" s="353" t="s">
        <v>133</v>
      </c>
      <c r="C3" s="353"/>
    </row>
    <row r="4" spans="1:4">
      <c r="A4" s="105" t="s">
        <v>3</v>
      </c>
      <c r="B4" s="7" t="s">
        <v>134</v>
      </c>
      <c r="C4" s="3"/>
    </row>
    <row r="5" spans="1:4" ht="30">
      <c r="A5" s="91" t="s">
        <v>5</v>
      </c>
      <c r="B5" s="3" t="s">
        <v>135</v>
      </c>
      <c r="C5" s="147">
        <v>1308</v>
      </c>
    </row>
    <row r="6" spans="1:4" ht="30">
      <c r="A6" s="91" t="s">
        <v>6</v>
      </c>
      <c r="B6" s="3" t="s">
        <v>362</v>
      </c>
      <c r="C6" s="148">
        <v>-552</v>
      </c>
    </row>
    <row r="7" spans="1:4">
      <c r="A7" s="3"/>
      <c r="B7" s="149" t="s">
        <v>136</v>
      </c>
      <c r="C7" s="150">
        <f>C5-C6</f>
        <v>1860</v>
      </c>
    </row>
    <row r="8" spans="1:4">
      <c r="A8" s="146"/>
      <c r="B8" s="146"/>
      <c r="C8" s="146"/>
    </row>
    <row r="9" spans="1:4">
      <c r="A9" s="105" t="s">
        <v>70</v>
      </c>
      <c r="B9" s="105" t="s">
        <v>2</v>
      </c>
      <c r="C9" s="105" t="s">
        <v>131</v>
      </c>
    </row>
    <row r="10" spans="1:4" ht="45" customHeight="1">
      <c r="A10" s="3"/>
      <c r="B10" s="353" t="s">
        <v>137</v>
      </c>
      <c r="C10" s="353"/>
    </row>
    <row r="11" spans="1:4">
      <c r="A11" s="105" t="s">
        <v>3</v>
      </c>
      <c r="B11" s="7" t="s">
        <v>134</v>
      </c>
      <c r="C11" s="3"/>
    </row>
    <row r="12" spans="1:4" ht="30">
      <c r="A12" s="91" t="s">
        <v>5</v>
      </c>
      <c r="B12" s="3" t="s">
        <v>135</v>
      </c>
      <c r="C12" s="151">
        <v>1308</v>
      </c>
      <c r="D12" s="28"/>
    </row>
    <row r="13" spans="1:4" ht="30">
      <c r="A13" s="91" t="s">
        <v>6</v>
      </c>
      <c r="B13" s="3" t="s">
        <v>138</v>
      </c>
      <c r="C13" s="152">
        <v>-446</v>
      </c>
      <c r="D13" s="43"/>
    </row>
    <row r="14" spans="1:4">
      <c r="A14" s="3"/>
      <c r="B14" s="149" t="s">
        <v>136</v>
      </c>
      <c r="C14" s="153">
        <f>C12-C13</f>
        <v>1754</v>
      </c>
      <c r="D14" s="28"/>
    </row>
    <row r="15" spans="1:4">
      <c r="A15" s="146"/>
      <c r="B15" s="146"/>
      <c r="C15" s="146"/>
    </row>
    <row r="16" spans="1:4">
      <c r="A16" s="146"/>
      <c r="B16" s="146"/>
      <c r="C16" s="146"/>
    </row>
    <row r="17" spans="1:3">
      <c r="A17" s="105" t="s">
        <v>70</v>
      </c>
      <c r="B17" s="105" t="s">
        <v>2</v>
      </c>
      <c r="C17" s="105" t="s">
        <v>131</v>
      </c>
    </row>
    <row r="18" spans="1:3" ht="45" customHeight="1">
      <c r="A18" s="3"/>
      <c r="B18" s="353" t="s">
        <v>139</v>
      </c>
      <c r="C18" s="353"/>
    </row>
    <row r="19" spans="1:3">
      <c r="A19" s="105" t="s">
        <v>3</v>
      </c>
      <c r="B19" s="7" t="s">
        <v>134</v>
      </c>
      <c r="C19" s="3"/>
    </row>
    <row r="20" spans="1:3" ht="30">
      <c r="A20" s="91" t="s">
        <v>5</v>
      </c>
      <c r="B20" s="3" t="s">
        <v>135</v>
      </c>
      <c r="C20" s="152">
        <v>1308</v>
      </c>
    </row>
    <row r="21" spans="1:3" ht="30">
      <c r="A21" s="91" t="s">
        <v>6</v>
      </c>
      <c r="B21" s="90" t="s">
        <v>140</v>
      </c>
      <c r="C21" s="154">
        <v>560</v>
      </c>
    </row>
    <row r="22" spans="1:3">
      <c r="A22" s="3"/>
      <c r="B22" s="149" t="s">
        <v>136</v>
      </c>
      <c r="C22" s="153">
        <f>C20-C21</f>
        <v>748</v>
      </c>
    </row>
    <row r="23" spans="1:3">
      <c r="A23" s="146"/>
      <c r="B23" s="146"/>
      <c r="C23" s="146"/>
    </row>
    <row r="24" spans="1:3">
      <c r="A24" s="354" t="s">
        <v>244</v>
      </c>
      <c r="B24" s="354"/>
      <c r="C24" s="354"/>
    </row>
  </sheetData>
  <mergeCells count="5">
    <mergeCell ref="B10:C10"/>
    <mergeCell ref="B18:C18"/>
    <mergeCell ref="B3:C3"/>
    <mergeCell ref="A24:C24"/>
    <mergeCell ref="A1:C1"/>
  </mergeCell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sheetPr codeName="Sheet14">
    <tabColor rgb="FF92D050"/>
  </sheetPr>
  <dimension ref="A1:E16"/>
  <sheetViews>
    <sheetView workbookViewId="0">
      <selection activeCell="E29" sqref="E29"/>
    </sheetView>
  </sheetViews>
  <sheetFormatPr defaultColWidth="9.140625" defaultRowHeight="15"/>
  <cols>
    <col min="1" max="1" width="9.140625" style="92"/>
    <col min="2" max="2" width="51.42578125" style="92" customWidth="1"/>
    <col min="3" max="3" width="19" style="92" bestFit="1" customWidth="1"/>
    <col min="4" max="4" width="9.140625" style="92"/>
    <col min="5" max="5" width="37.28515625" style="92" customWidth="1"/>
    <col min="6" max="16384" width="9.140625" style="92"/>
  </cols>
  <sheetData>
    <row r="1" spans="1:5" ht="30.75" customHeight="1">
      <c r="A1" s="352" t="s">
        <v>116</v>
      </c>
      <c r="B1" s="352"/>
      <c r="C1" s="352"/>
    </row>
    <row r="3" spans="1:5">
      <c r="A3" s="8"/>
      <c r="B3" s="96" t="s">
        <v>117</v>
      </c>
      <c r="C3" s="94" t="s">
        <v>258</v>
      </c>
    </row>
    <row r="4" spans="1:5" ht="30" customHeight="1">
      <c r="A4" s="98" t="s">
        <v>67</v>
      </c>
      <c r="B4" s="358" t="s">
        <v>304</v>
      </c>
      <c r="C4" s="359"/>
    </row>
    <row r="5" spans="1:5">
      <c r="A5" s="99" t="s">
        <v>5</v>
      </c>
      <c r="B5" s="97" t="s">
        <v>259</v>
      </c>
      <c r="C5" s="95">
        <f>8*6.85</f>
        <v>54.8</v>
      </c>
      <c r="D5" s="88"/>
      <c r="E5" s="28"/>
    </row>
    <row r="6" spans="1:5" ht="30">
      <c r="A6" s="98" t="s">
        <v>6</v>
      </c>
      <c r="B6" s="97" t="s">
        <v>303</v>
      </c>
      <c r="C6" s="95">
        <v>45</v>
      </c>
      <c r="D6" s="89"/>
    </row>
    <row r="7" spans="1:5">
      <c r="A7" s="98" t="s">
        <v>11</v>
      </c>
      <c r="B7" s="356" t="s">
        <v>260</v>
      </c>
      <c r="C7" s="357"/>
      <c r="D7" s="89"/>
    </row>
    <row r="8" spans="1:5" ht="30">
      <c r="A8" s="98" t="s">
        <v>5</v>
      </c>
      <c r="B8" s="97" t="s">
        <v>374</v>
      </c>
      <c r="C8" s="95">
        <v>225</v>
      </c>
      <c r="D8" s="89"/>
    </row>
    <row r="9" spans="1:5">
      <c r="A9" s="98" t="s">
        <v>6</v>
      </c>
      <c r="B9" s="97" t="s">
        <v>261</v>
      </c>
      <c r="C9" s="95">
        <v>162</v>
      </c>
      <c r="D9" s="89"/>
    </row>
    <row r="10" spans="1:5">
      <c r="A10" s="98" t="s">
        <v>7</v>
      </c>
      <c r="B10" s="97" t="s">
        <v>262</v>
      </c>
      <c r="C10" s="95">
        <v>117</v>
      </c>
      <c r="D10" s="89"/>
    </row>
    <row r="11" spans="1:5">
      <c r="A11" s="98" t="s">
        <v>8</v>
      </c>
      <c r="B11" s="97" t="s">
        <v>118</v>
      </c>
      <c r="C11" s="95">
        <v>108</v>
      </c>
      <c r="D11" s="89"/>
    </row>
    <row r="12" spans="1:5">
      <c r="A12" s="98" t="s">
        <v>302</v>
      </c>
      <c r="B12" s="358" t="s">
        <v>119</v>
      </c>
      <c r="C12" s="359"/>
      <c r="D12" s="89"/>
    </row>
    <row r="13" spans="1:5">
      <c r="A13" s="98" t="s">
        <v>5</v>
      </c>
      <c r="B13" s="97" t="s">
        <v>120</v>
      </c>
      <c r="C13" s="95">
        <f>4*8*6.85</f>
        <v>219.2</v>
      </c>
    </row>
    <row r="14" spans="1:5">
      <c r="A14" s="101"/>
      <c r="B14" s="100" t="s">
        <v>263</v>
      </c>
      <c r="C14" s="95">
        <f>SUM(C5:C13)</f>
        <v>931</v>
      </c>
    </row>
    <row r="16" spans="1:5">
      <c r="A16" s="360" t="s">
        <v>264</v>
      </c>
      <c r="B16" s="360"/>
      <c r="C16" s="360"/>
    </row>
  </sheetData>
  <mergeCells count="5">
    <mergeCell ref="B7:C7"/>
    <mergeCell ref="B4:C4"/>
    <mergeCell ref="B12:C12"/>
    <mergeCell ref="A16:C16"/>
    <mergeCell ref="A1:C1"/>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sheetPr codeName="Sheet15">
    <tabColor rgb="FF92D050"/>
    <pageSetUpPr fitToPage="1"/>
  </sheetPr>
  <dimension ref="A1:I20"/>
  <sheetViews>
    <sheetView zoomScale="130" zoomScaleNormal="130" workbookViewId="0">
      <selection activeCell="C7" sqref="C7:I7"/>
    </sheetView>
  </sheetViews>
  <sheetFormatPr defaultColWidth="9.140625" defaultRowHeight="15"/>
  <cols>
    <col min="1" max="1" width="13.7109375" style="1" customWidth="1"/>
    <col min="2" max="2" width="14.140625" style="1" customWidth="1"/>
    <col min="3" max="3" width="24" style="1" bestFit="1" customWidth="1"/>
    <col min="4" max="4" width="20" style="1" customWidth="1"/>
    <col min="5" max="5" width="12.85546875" style="1" customWidth="1"/>
    <col min="6" max="16384" width="9.140625" style="1"/>
  </cols>
  <sheetData>
    <row r="1" spans="1:9">
      <c r="A1" s="2" t="s">
        <v>121</v>
      </c>
    </row>
    <row r="3" spans="1:9" ht="53.25" customHeight="1">
      <c r="A3" s="158" t="s">
        <v>128</v>
      </c>
      <c r="B3" s="155" t="s">
        <v>436</v>
      </c>
      <c r="C3" s="155" t="s">
        <v>370</v>
      </c>
      <c r="D3" s="155" t="s">
        <v>372</v>
      </c>
      <c r="E3" s="155" t="s">
        <v>129</v>
      </c>
      <c r="F3" s="161"/>
      <c r="G3" s="161"/>
      <c r="H3" s="161"/>
      <c r="I3" s="161"/>
    </row>
    <row r="4" spans="1:9" ht="43.5" customHeight="1">
      <c r="A4" s="159" t="s">
        <v>130</v>
      </c>
      <c r="B4" s="156">
        <f>8*6.85</f>
        <v>54.8</v>
      </c>
      <c r="C4" s="156" t="s">
        <v>371</v>
      </c>
      <c r="D4" s="156">
        <v>4</v>
      </c>
      <c r="E4" s="156">
        <f>B4*4</f>
        <v>219.2</v>
      </c>
      <c r="F4" s="161"/>
      <c r="G4" s="161"/>
      <c r="H4" s="161"/>
      <c r="I4" s="161"/>
    </row>
    <row r="5" spans="1:9" ht="11.25" customHeight="1">
      <c r="A5" s="162"/>
      <c r="B5" s="161"/>
      <c r="C5" s="161"/>
      <c r="D5" s="161"/>
      <c r="E5" s="161"/>
      <c r="F5" s="161"/>
      <c r="G5" s="161"/>
      <c r="H5" s="161"/>
      <c r="I5" s="161"/>
    </row>
    <row r="6" spans="1:9" ht="67.5" customHeight="1">
      <c r="A6" s="160" t="s">
        <v>49</v>
      </c>
      <c r="B6" s="105" t="s">
        <v>246</v>
      </c>
      <c r="C6" s="361"/>
      <c r="D6" s="362"/>
      <c r="E6" s="362"/>
      <c r="F6" s="362"/>
      <c r="G6" s="362"/>
      <c r="H6" s="362"/>
      <c r="I6" s="362"/>
    </row>
    <row r="7" spans="1:9" ht="48" customHeight="1">
      <c r="A7" s="93" t="s">
        <v>245</v>
      </c>
      <c r="B7" s="110">
        <v>100</v>
      </c>
      <c r="C7" s="361"/>
      <c r="D7" s="362"/>
      <c r="E7" s="362"/>
      <c r="F7" s="362"/>
      <c r="G7" s="362"/>
      <c r="H7" s="362"/>
      <c r="I7" s="362"/>
    </row>
    <row r="8" spans="1:9">
      <c r="A8" s="93" t="s">
        <v>247</v>
      </c>
      <c r="B8" s="110">
        <v>180</v>
      </c>
      <c r="C8" s="161"/>
      <c r="D8" s="161"/>
      <c r="E8" s="161"/>
      <c r="F8" s="161"/>
      <c r="G8" s="161"/>
      <c r="H8" s="161"/>
      <c r="I8" s="161"/>
    </row>
    <row r="9" spans="1:9" ht="29.25" customHeight="1">
      <c r="A9" s="90" t="s">
        <v>248</v>
      </c>
      <c r="B9" s="110">
        <v>180</v>
      </c>
      <c r="C9" s="163"/>
      <c r="D9" s="163"/>
      <c r="E9" s="161"/>
      <c r="F9" s="161"/>
      <c r="G9" s="161"/>
      <c r="H9" s="161"/>
      <c r="I9" s="161"/>
    </row>
    <row r="10" spans="1:9" ht="78" customHeight="1">
      <c r="A10" s="363" t="s">
        <v>373</v>
      </c>
      <c r="B10" s="363"/>
      <c r="C10" s="363"/>
    </row>
    <row r="11" spans="1:9" ht="78.75" customHeight="1">
      <c r="A11" s="363" t="s">
        <v>435</v>
      </c>
      <c r="B11" s="363"/>
      <c r="C11" s="363"/>
    </row>
    <row r="12" spans="1:9">
      <c r="A12" s="22"/>
      <c r="B12" s="22"/>
    </row>
    <row r="13" spans="1:9">
      <c r="A13" s="22"/>
      <c r="B13" s="22"/>
    </row>
    <row r="14" spans="1:9">
      <c r="A14" s="22"/>
      <c r="B14" s="22"/>
    </row>
    <row r="15" spans="1:9">
      <c r="A15" s="22"/>
      <c r="B15" s="22"/>
    </row>
    <row r="16" spans="1:9">
      <c r="A16" s="22"/>
      <c r="B16" s="22"/>
    </row>
    <row r="17" spans="1:2">
      <c r="A17" s="22"/>
      <c r="B17" s="22"/>
    </row>
    <row r="18" spans="1:2">
      <c r="A18" s="22"/>
      <c r="B18" s="22"/>
    </row>
    <row r="19" spans="1:2">
      <c r="A19" s="22"/>
      <c r="B19" s="22"/>
    </row>
    <row r="20" spans="1:2">
      <c r="A20" s="22"/>
      <c r="B20" s="22"/>
    </row>
  </sheetData>
  <mergeCells count="4">
    <mergeCell ref="C7:I7"/>
    <mergeCell ref="C6:I6"/>
    <mergeCell ref="A10:C10"/>
    <mergeCell ref="A11:C11"/>
  </mergeCells>
  <pageMargins left="0.7" right="0.7" top="0.75" bottom="0.75" header="0.3" footer="0.3"/>
  <pageSetup paperSize="9" scale="85" orientation="landscape" r:id="rId1"/>
</worksheet>
</file>

<file path=xl/worksheets/sheet16.xml><?xml version="1.0" encoding="utf-8"?>
<worksheet xmlns="http://schemas.openxmlformats.org/spreadsheetml/2006/main" xmlns:r="http://schemas.openxmlformats.org/officeDocument/2006/relationships">
  <sheetPr codeName="Sheet16">
    <tabColor rgb="FF92D050"/>
  </sheetPr>
  <dimension ref="A1:E7"/>
  <sheetViews>
    <sheetView workbookViewId="0">
      <selection activeCell="C15" sqref="C15"/>
    </sheetView>
  </sheetViews>
  <sheetFormatPr defaultColWidth="9.140625" defaultRowHeight="15"/>
  <cols>
    <col min="1" max="1" width="31.42578125" style="1" bestFit="1" customWidth="1"/>
    <col min="2" max="4" width="13.28515625" style="1" customWidth="1"/>
    <col min="5" max="6" width="9.140625" style="1"/>
    <col min="7" max="7" width="24.28515625" style="1" customWidth="1"/>
    <col min="8" max="8" width="13.42578125" style="1" customWidth="1"/>
    <col min="9" max="16384" width="9.140625" style="1"/>
  </cols>
  <sheetData>
    <row r="1" spans="1:5" ht="33" customHeight="1">
      <c r="A1" s="352" t="s">
        <v>174</v>
      </c>
      <c r="B1" s="352"/>
      <c r="C1" s="352"/>
      <c r="D1" s="352"/>
      <c r="E1" s="352"/>
    </row>
    <row r="2" spans="1:5" ht="0.75" customHeight="1">
      <c r="A2" s="352"/>
      <c r="B2" s="352"/>
      <c r="C2" s="352"/>
      <c r="D2" s="352"/>
      <c r="E2" s="352"/>
    </row>
    <row r="3" spans="1:5" ht="45">
      <c r="A3" s="4"/>
      <c r="B3" s="20" t="s">
        <v>74</v>
      </c>
      <c r="C3" s="20" t="s">
        <v>75</v>
      </c>
      <c r="D3" s="20" t="s">
        <v>76</v>
      </c>
    </row>
    <row r="4" spans="1:5">
      <c r="A4" s="4" t="s">
        <v>71</v>
      </c>
      <c r="B4" s="4">
        <v>4000</v>
      </c>
      <c r="C4" s="4">
        <v>0.5</v>
      </c>
      <c r="D4" s="4">
        <f>B4*C4</f>
        <v>2000</v>
      </c>
    </row>
    <row r="5" spans="1:5">
      <c r="A5" s="4" t="s">
        <v>72</v>
      </c>
      <c r="B5" s="4">
        <f>8000</f>
        <v>8000</v>
      </c>
      <c r="C5" s="4">
        <v>0.5</v>
      </c>
      <c r="D5" s="4">
        <f>B5*C5</f>
        <v>4000</v>
      </c>
    </row>
    <row r="6" spans="1:5">
      <c r="A6" s="367" t="s">
        <v>73</v>
      </c>
      <c r="B6" s="368"/>
      <c r="C6" s="369"/>
      <c r="D6" s="5">
        <f>D5-D4</f>
        <v>2000</v>
      </c>
    </row>
    <row r="7" spans="1:5">
      <c r="A7" s="364" t="s">
        <v>175</v>
      </c>
      <c r="B7" s="365"/>
      <c r="C7" s="366"/>
      <c r="D7" s="69">
        <v>220</v>
      </c>
    </row>
  </sheetData>
  <mergeCells count="3">
    <mergeCell ref="A7:C7"/>
    <mergeCell ref="A6:C6"/>
    <mergeCell ref="A1:E2"/>
  </mergeCells>
  <pageMargins left="0.7" right="0.7" top="0.75" bottom="0.75" header="0.3" footer="0.3"/>
  <pageSetup paperSize="9" orientation="landscape" horizontalDpi="4294967292" r:id="rId1"/>
</worksheet>
</file>

<file path=xl/worksheets/sheet17.xml><?xml version="1.0" encoding="utf-8"?>
<worksheet xmlns="http://schemas.openxmlformats.org/spreadsheetml/2006/main" xmlns:r="http://schemas.openxmlformats.org/officeDocument/2006/relationships">
  <sheetPr codeName="Sheet17">
    <tabColor rgb="FF92D050"/>
    <pageSetUpPr fitToPage="1"/>
  </sheetPr>
  <dimension ref="A1:E17"/>
  <sheetViews>
    <sheetView workbookViewId="0">
      <selection activeCell="H18" sqref="H18"/>
    </sheetView>
  </sheetViews>
  <sheetFormatPr defaultColWidth="9.140625" defaultRowHeight="15"/>
  <cols>
    <col min="1" max="1" width="25.42578125" style="1" customWidth="1"/>
    <col min="2" max="2" width="24.5703125" style="1" customWidth="1"/>
    <col min="3" max="3" width="30.140625" style="1" customWidth="1"/>
    <col min="4" max="16384" width="9.140625" style="1"/>
  </cols>
  <sheetData>
    <row r="1" spans="1:5" ht="31.5" customHeight="1">
      <c r="A1" s="352" t="s">
        <v>176</v>
      </c>
      <c r="B1" s="352"/>
      <c r="C1" s="352"/>
    </row>
    <row r="3" spans="1:5" ht="33" customHeight="1">
      <c r="A3" s="74"/>
      <c r="B3" s="21" t="s">
        <v>77</v>
      </c>
      <c r="C3" s="105" t="s">
        <v>89</v>
      </c>
      <c r="D3" s="92"/>
      <c r="E3" s="92"/>
    </row>
    <row r="4" spans="1:5">
      <c r="A4" s="5" t="s">
        <v>78</v>
      </c>
      <c r="B4" s="106" t="s">
        <v>79</v>
      </c>
      <c r="C4" s="106" t="s">
        <v>79</v>
      </c>
      <c r="D4" s="92"/>
      <c r="E4" s="92"/>
    </row>
    <row r="5" spans="1:5">
      <c r="A5" s="8" t="s">
        <v>80</v>
      </c>
      <c r="B5" s="107">
        <v>2000</v>
      </c>
      <c r="C5" s="8">
        <v>650</v>
      </c>
      <c r="D5" s="92"/>
      <c r="E5" s="92"/>
    </row>
    <row r="6" spans="1:5">
      <c r="A6" s="8" t="s">
        <v>81</v>
      </c>
      <c r="B6" s="107">
        <v>125</v>
      </c>
      <c r="C6" s="8">
        <v>20</v>
      </c>
      <c r="D6" s="92"/>
      <c r="E6" s="92"/>
    </row>
    <row r="7" spans="1:5">
      <c r="A7" s="8" t="s">
        <v>82</v>
      </c>
      <c r="B7" s="107">
        <v>65</v>
      </c>
      <c r="C7" s="8">
        <v>65</v>
      </c>
      <c r="D7" s="92"/>
      <c r="E7" s="92"/>
    </row>
    <row r="8" spans="1:5">
      <c r="A8" s="8" t="s">
        <v>83</v>
      </c>
      <c r="B8" s="107">
        <v>80</v>
      </c>
      <c r="C8" s="8">
        <v>0</v>
      </c>
      <c r="D8" s="92"/>
      <c r="E8" s="92"/>
    </row>
    <row r="9" spans="1:5">
      <c r="A9" s="8" t="s">
        <v>84</v>
      </c>
      <c r="B9" s="107">
        <v>246</v>
      </c>
      <c r="C9" s="8">
        <v>0</v>
      </c>
      <c r="D9" s="92"/>
      <c r="E9" s="92"/>
    </row>
    <row r="10" spans="1:5">
      <c r="A10" s="5" t="s">
        <v>85</v>
      </c>
      <c r="B10" s="12">
        <f>SUM(B5:B9)</f>
        <v>2516</v>
      </c>
      <c r="C10" s="5">
        <f>SUM(C5:C9)</f>
        <v>735</v>
      </c>
      <c r="D10" s="92"/>
      <c r="E10" s="92"/>
    </row>
    <row r="11" spans="1:5">
      <c r="A11" s="5" t="s">
        <v>86</v>
      </c>
      <c r="B11" s="107"/>
      <c r="C11" s="8"/>
      <c r="D11" s="92"/>
      <c r="E11" s="92"/>
    </row>
    <row r="12" spans="1:5">
      <c r="A12" s="8" t="s">
        <v>87</v>
      </c>
      <c r="B12" s="107">
        <v>458</v>
      </c>
      <c r="C12" s="8">
        <v>500</v>
      </c>
      <c r="D12" s="92"/>
      <c r="E12" s="92"/>
    </row>
    <row r="13" spans="1:5">
      <c r="A13" s="8" t="s">
        <v>88</v>
      </c>
      <c r="B13" s="107">
        <v>4250</v>
      </c>
      <c r="C13" s="8">
        <v>0</v>
      </c>
      <c r="D13" s="92"/>
      <c r="E13" s="92"/>
    </row>
    <row r="14" spans="1:5">
      <c r="A14" s="5" t="s">
        <v>85</v>
      </c>
      <c r="B14" s="12">
        <f>SUM(B12:B13)</f>
        <v>4708</v>
      </c>
      <c r="C14" s="12">
        <f>SUM(C12:C13)</f>
        <v>500</v>
      </c>
      <c r="D14" s="92"/>
      <c r="E14" s="92"/>
    </row>
    <row r="15" spans="1:5">
      <c r="A15" s="5" t="s">
        <v>361</v>
      </c>
      <c r="B15" s="12">
        <f>B14-B10</f>
        <v>2192</v>
      </c>
      <c r="C15" s="12">
        <f>C14-C10</f>
        <v>-235</v>
      </c>
    </row>
    <row r="16" spans="1:5">
      <c r="A16" s="5" t="s">
        <v>90</v>
      </c>
      <c r="B16" s="370">
        <f>B15-(C15)</f>
        <v>2427</v>
      </c>
      <c r="C16" s="370"/>
    </row>
    <row r="17" spans="1:5" ht="36.75" customHeight="1">
      <c r="A17" s="371" t="s">
        <v>91</v>
      </c>
      <c r="B17" s="372"/>
      <c r="C17" s="5">
        <v>240</v>
      </c>
      <c r="D17" s="92"/>
      <c r="E17" s="92"/>
    </row>
  </sheetData>
  <mergeCells count="3">
    <mergeCell ref="B16:C16"/>
    <mergeCell ref="A1:C1"/>
    <mergeCell ref="A17:B17"/>
  </mergeCells>
  <pageMargins left="0.7" right="0.7" top="0.75" bottom="0.75" header="0.3" footer="0.3"/>
  <pageSetup paperSize="9" scale="88" orientation="portrait" r:id="rId1"/>
</worksheet>
</file>

<file path=xl/worksheets/sheet18.xml><?xml version="1.0" encoding="utf-8"?>
<worksheet xmlns="http://schemas.openxmlformats.org/spreadsheetml/2006/main" xmlns:r="http://schemas.openxmlformats.org/officeDocument/2006/relationships">
  <sheetPr codeName="Sheet18">
    <tabColor rgb="FF92D050"/>
  </sheetPr>
  <dimension ref="A1:C12"/>
  <sheetViews>
    <sheetView topLeftCell="A7" zoomScaleNormal="100" workbookViewId="0">
      <selection activeCell="G7" sqref="G7"/>
    </sheetView>
  </sheetViews>
  <sheetFormatPr defaultColWidth="9.140625" defaultRowHeight="15"/>
  <cols>
    <col min="1" max="1" width="4.28515625" style="157" customWidth="1"/>
    <col min="2" max="2" width="79.5703125" style="157" customWidth="1"/>
    <col min="3" max="3" width="6.5703125" style="157" customWidth="1"/>
    <col min="4" max="16384" width="9.140625" style="157"/>
  </cols>
  <sheetData>
    <row r="1" spans="1:3" ht="17.25" customHeight="1">
      <c r="A1" s="375" t="s">
        <v>427</v>
      </c>
      <c r="B1" s="375"/>
      <c r="C1" s="375"/>
    </row>
    <row r="2" spans="1:3">
      <c r="A2" s="164" t="s">
        <v>70</v>
      </c>
      <c r="B2" s="164" t="s">
        <v>2</v>
      </c>
      <c r="C2" s="164" t="s">
        <v>254</v>
      </c>
    </row>
    <row r="3" spans="1:3" ht="90">
      <c r="A3" s="164"/>
      <c r="B3" s="232" t="s">
        <v>453</v>
      </c>
      <c r="C3" s="165">
        <f>3*6</f>
        <v>18</v>
      </c>
    </row>
    <row r="4" spans="1:3" ht="93.75" customHeight="1">
      <c r="A4" s="166"/>
      <c r="B4" s="232" t="s">
        <v>454</v>
      </c>
      <c r="C4" s="167">
        <f>0</f>
        <v>0</v>
      </c>
    </row>
    <row r="5" spans="1:3" ht="43.5" customHeight="1">
      <c r="A5" s="166"/>
      <c r="B5" s="207" t="s">
        <v>455</v>
      </c>
      <c r="C5" s="167">
        <v>0</v>
      </c>
    </row>
    <row r="6" spans="1:3" ht="141" customHeight="1">
      <c r="A6" s="166"/>
      <c r="B6" s="233" t="s">
        <v>456</v>
      </c>
      <c r="C6" s="166">
        <f>(90/5/100)*3</f>
        <v>0.54</v>
      </c>
    </row>
    <row r="7" spans="1:3" ht="409.5" customHeight="1">
      <c r="A7" s="166"/>
      <c r="B7" s="233" t="s">
        <v>457</v>
      </c>
      <c r="C7" s="167">
        <f>((8.66*6.85)/100)*3+((0.85*10)/100)*3+((17.65*6.85)/100)*3</f>
        <v>5.6617049999999995</v>
      </c>
    </row>
    <row r="8" spans="1:3" ht="33.75" customHeight="1">
      <c r="A8" s="166"/>
      <c r="B8" s="233" t="s">
        <v>458</v>
      </c>
      <c r="C8" s="167">
        <f>0</f>
        <v>0</v>
      </c>
    </row>
    <row r="9" spans="1:3">
      <c r="A9" s="166"/>
      <c r="B9" s="164" t="s">
        <v>426</v>
      </c>
      <c r="C9" s="165">
        <f>SUM(C3:C8)</f>
        <v>24.201704999999997</v>
      </c>
    </row>
    <row r="10" spans="1:3">
      <c r="A10" s="373" t="s">
        <v>255</v>
      </c>
      <c r="B10" s="374"/>
      <c r="C10" s="168">
        <v>24</v>
      </c>
    </row>
    <row r="11" spans="1:3">
      <c r="A11" s="376" t="s">
        <v>437</v>
      </c>
      <c r="B11" s="376"/>
      <c r="C11" s="376"/>
    </row>
    <row r="12" spans="1:3" ht="13.5" customHeight="1">
      <c r="A12" s="377"/>
      <c r="B12" s="377"/>
      <c r="C12" s="377"/>
    </row>
  </sheetData>
  <mergeCells count="3">
    <mergeCell ref="A10:B10"/>
    <mergeCell ref="A1:C1"/>
    <mergeCell ref="A11:C12"/>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sheetPr codeName="Sheet19"/>
  <dimension ref="A1:I84"/>
  <sheetViews>
    <sheetView tabSelected="1" view="pageLayout" topLeftCell="A73" zoomScaleNormal="100" workbookViewId="0">
      <selection activeCell="A82" sqref="A82"/>
    </sheetView>
  </sheetViews>
  <sheetFormatPr defaultColWidth="9.140625" defaultRowHeight="15"/>
  <cols>
    <col min="1" max="1" width="5.42578125" style="260" customWidth="1"/>
    <col min="2" max="2" width="39.7109375" style="260" customWidth="1"/>
    <col min="3" max="3" width="36.7109375" style="260" customWidth="1"/>
    <col min="4" max="4" width="17.42578125" style="260" bestFit="1" customWidth="1"/>
    <col min="5" max="5" width="11.42578125" style="260" customWidth="1"/>
    <col min="6" max="6" width="15.28515625" style="260" customWidth="1"/>
    <col min="7" max="7" width="10.85546875" style="260" customWidth="1"/>
    <col min="8" max="8" width="11.42578125" style="260" customWidth="1"/>
    <col min="9" max="9" width="57.5703125" style="260" customWidth="1"/>
    <col min="10" max="16384" width="9.140625" style="260"/>
  </cols>
  <sheetData>
    <row r="1" spans="1:4" ht="30.75" customHeight="1">
      <c r="A1" s="379" t="s">
        <v>461</v>
      </c>
      <c r="B1" s="379"/>
      <c r="C1" s="379"/>
    </row>
    <row r="2" spans="1:4" ht="30.75" customHeight="1">
      <c r="A2" s="261"/>
      <c r="B2" s="261"/>
      <c r="C2" s="261"/>
    </row>
    <row r="3" spans="1:4">
      <c r="A3" s="380" t="s">
        <v>462</v>
      </c>
      <c r="B3" s="380"/>
      <c r="C3" s="380"/>
    </row>
    <row r="4" spans="1:4">
      <c r="A4" s="262"/>
      <c r="B4" s="263"/>
      <c r="C4" s="263"/>
    </row>
    <row r="5" spans="1:4">
      <c r="A5" s="264"/>
      <c r="B5" s="265" t="s">
        <v>463</v>
      </c>
      <c r="C5" s="265"/>
    </row>
    <row r="6" spans="1:4">
      <c r="A6" s="264"/>
      <c r="B6" s="266" t="s">
        <v>464</v>
      </c>
      <c r="C6" s="267" t="s">
        <v>465</v>
      </c>
      <c r="D6" s="268"/>
    </row>
    <row r="7" spans="1:4">
      <c r="A7" s="269" t="s">
        <v>5</v>
      </c>
      <c r="B7" s="270" t="s">
        <v>466</v>
      </c>
      <c r="C7" s="271">
        <v>730</v>
      </c>
      <c r="D7" s="268"/>
    </row>
    <row r="8" spans="1:4">
      <c r="A8" s="269" t="s">
        <v>6</v>
      </c>
      <c r="B8" s="270" t="s">
        <v>467</v>
      </c>
      <c r="C8" s="271">
        <f>80*1.17*1.14</f>
        <v>106.70399999999998</v>
      </c>
      <c r="D8" s="268"/>
    </row>
    <row r="9" spans="1:4" ht="30">
      <c r="A9" s="269"/>
      <c r="B9" s="272" t="s">
        <v>468</v>
      </c>
      <c r="C9" s="273">
        <f>C7-C8</f>
        <v>623.29600000000005</v>
      </c>
      <c r="D9" s="268"/>
    </row>
    <row r="10" spans="1:4" ht="30">
      <c r="A10" s="274" t="s">
        <v>67</v>
      </c>
      <c r="B10" s="272" t="s">
        <v>499</v>
      </c>
      <c r="C10" s="273">
        <f>C9*0.15</f>
        <v>93.494399999999999</v>
      </c>
      <c r="D10" s="268"/>
    </row>
    <row r="11" spans="1:4" ht="30.75" customHeight="1">
      <c r="A11" s="269"/>
      <c r="B11" s="270" t="s">
        <v>466</v>
      </c>
      <c r="C11" s="271">
        <v>730</v>
      </c>
      <c r="D11" s="268"/>
    </row>
    <row r="12" spans="1:4" ht="30">
      <c r="A12" s="274" t="s">
        <v>36</v>
      </c>
      <c r="B12" s="272" t="s">
        <v>469</v>
      </c>
      <c r="C12" s="271"/>
      <c r="D12" s="268"/>
    </row>
    <row r="13" spans="1:4">
      <c r="A13" s="274"/>
      <c r="B13" s="268" t="s">
        <v>470</v>
      </c>
      <c r="C13" s="268">
        <f>218*0.03</f>
        <v>6.54</v>
      </c>
      <c r="D13" s="268"/>
    </row>
    <row r="14" spans="1:4">
      <c r="A14" s="269"/>
      <c r="B14" s="270" t="s">
        <v>471</v>
      </c>
      <c r="C14" s="275">
        <v>9.9700000000000006</v>
      </c>
      <c r="D14" s="268"/>
    </row>
    <row r="15" spans="1:4">
      <c r="A15" s="269"/>
      <c r="B15" s="270" t="s">
        <v>472</v>
      </c>
      <c r="C15" s="275">
        <f>C13+C14</f>
        <v>16.510000000000002</v>
      </c>
      <c r="D15" s="268"/>
    </row>
    <row r="16" spans="1:4" ht="27.6" customHeight="1">
      <c r="A16" s="269"/>
      <c r="B16" s="276" t="s">
        <v>473</v>
      </c>
      <c r="C16" s="277">
        <f>C10+C15</f>
        <v>110.0044</v>
      </c>
      <c r="D16" s="268"/>
    </row>
    <row r="17" spans="1:3" ht="28.15" customHeight="1">
      <c r="A17" s="313"/>
      <c r="B17" s="381" t="s">
        <v>474</v>
      </c>
      <c r="C17" s="382"/>
    </row>
    <row r="18" spans="1:3" ht="64.5" customHeight="1" thickBot="1">
      <c r="A18" s="383" t="s">
        <v>475</v>
      </c>
      <c r="B18" s="383"/>
      <c r="C18" s="383"/>
    </row>
    <row r="19" spans="1:3" ht="15.75" thickBot="1">
      <c r="A19" s="278"/>
      <c r="B19" s="278"/>
      <c r="C19" s="278"/>
    </row>
    <row r="20" spans="1:3">
      <c r="A20" s="384" t="s">
        <v>476</v>
      </c>
      <c r="B20" s="384"/>
      <c r="C20" s="384"/>
    </row>
    <row r="22" spans="1:3">
      <c r="A22" s="385" t="s">
        <v>96</v>
      </c>
      <c r="B22" s="385"/>
      <c r="C22" s="385"/>
    </row>
    <row r="23" spans="1:3">
      <c r="A23" s="279"/>
      <c r="B23" s="279"/>
      <c r="C23" s="279"/>
    </row>
    <row r="24" spans="1:3">
      <c r="A24" s="280" t="s">
        <v>1</v>
      </c>
      <c r="B24" s="281" t="s">
        <v>2</v>
      </c>
      <c r="C24" s="280" t="s">
        <v>514</v>
      </c>
    </row>
    <row r="25" spans="1:3" ht="45.75" customHeight="1">
      <c r="A25" s="280" t="s">
        <v>3</v>
      </c>
      <c r="B25" s="282" t="s">
        <v>4</v>
      </c>
      <c r="C25" s="280"/>
    </row>
    <row r="26" spans="1:3" ht="60">
      <c r="A26" s="283" t="s">
        <v>5</v>
      </c>
      <c r="B26" s="284" t="s">
        <v>110</v>
      </c>
      <c r="C26" s="285">
        <f>3*6*4.5</f>
        <v>81</v>
      </c>
    </row>
    <row r="27" spans="1:3" ht="60">
      <c r="A27" s="283" t="s">
        <v>6</v>
      </c>
      <c r="B27" s="284" t="s">
        <v>111</v>
      </c>
      <c r="C27" s="285">
        <f>3*20*0.74</f>
        <v>44.4</v>
      </c>
    </row>
    <row r="28" spans="1:3" ht="60">
      <c r="A28" s="283" t="s">
        <v>7</v>
      </c>
      <c r="B28" s="284" t="s">
        <v>112</v>
      </c>
      <c r="C28" s="285">
        <f>((3*20)+(3*6))*6.85</f>
        <v>534.29999999999995</v>
      </c>
    </row>
    <row r="29" spans="1:3">
      <c r="A29" s="283"/>
      <c r="B29" s="281" t="s">
        <v>10</v>
      </c>
      <c r="C29" s="286">
        <f>SUM(C25:C28)</f>
        <v>659.69999999999993</v>
      </c>
    </row>
    <row r="30" spans="1:3">
      <c r="A30" s="280" t="s">
        <v>11</v>
      </c>
      <c r="B30" s="281" t="s">
        <v>12</v>
      </c>
      <c r="C30" s="285"/>
    </row>
    <row r="31" spans="1:3">
      <c r="A31" s="283" t="s">
        <v>5</v>
      </c>
      <c r="B31" s="284" t="s">
        <v>459</v>
      </c>
      <c r="C31" s="287">
        <v>215.5</v>
      </c>
    </row>
    <row r="32" spans="1:3" ht="85.15" customHeight="1">
      <c r="A32" s="283" t="s">
        <v>6</v>
      </c>
      <c r="B32" s="284" t="s">
        <v>21</v>
      </c>
      <c r="C32" s="287">
        <v>14.01</v>
      </c>
    </row>
    <row r="33" spans="1:3" ht="50.45" customHeight="1">
      <c r="A33" s="283" t="s">
        <v>7</v>
      </c>
      <c r="B33" s="284" t="s">
        <v>460</v>
      </c>
      <c r="C33" s="287">
        <v>130.1</v>
      </c>
    </row>
    <row r="34" spans="1:3">
      <c r="A34" s="283"/>
      <c r="B34" s="288" t="s">
        <v>10</v>
      </c>
      <c r="C34" s="286">
        <f>SUM(C31:C33)</f>
        <v>359.61</v>
      </c>
    </row>
    <row r="35" spans="1:3">
      <c r="A35" s="289"/>
      <c r="B35" s="281" t="s">
        <v>14</v>
      </c>
      <c r="C35" s="286">
        <f>C29-C34</f>
        <v>300.08999999999992</v>
      </c>
    </row>
    <row r="36" spans="1:3">
      <c r="A36" s="290"/>
      <c r="B36" s="281" t="s">
        <v>15</v>
      </c>
      <c r="C36" s="291">
        <v>300</v>
      </c>
    </row>
    <row r="37" spans="1:3">
      <c r="A37" s="279"/>
      <c r="B37" s="279"/>
      <c r="C37" s="279"/>
    </row>
    <row r="38" spans="1:3">
      <c r="A38" s="292" t="s">
        <v>19</v>
      </c>
      <c r="B38" s="279" t="s">
        <v>16</v>
      </c>
      <c r="C38" s="279"/>
    </row>
    <row r="39" spans="1:3">
      <c r="A39" s="279"/>
      <c r="B39" s="279" t="s">
        <v>106</v>
      </c>
      <c r="C39" s="293">
        <f>0.2*1.2</f>
        <v>0.24</v>
      </c>
    </row>
    <row r="40" spans="1:3">
      <c r="A40" s="279"/>
      <c r="B40" s="279" t="s">
        <v>17</v>
      </c>
      <c r="C40" s="293">
        <f>0.5</f>
        <v>0.5</v>
      </c>
    </row>
    <row r="41" spans="1:3">
      <c r="A41" s="279"/>
      <c r="B41" s="294" t="s">
        <v>18</v>
      </c>
      <c r="C41" s="295">
        <f>SUM(C39:C40)</f>
        <v>0.74</v>
      </c>
    </row>
    <row r="42" spans="1:3" ht="15.75" thickBot="1">
      <c r="A42" s="278"/>
      <c r="B42" s="278"/>
      <c r="C42" s="278"/>
    </row>
    <row r="43" spans="1:3" ht="6.75" customHeight="1"/>
    <row r="44" spans="1:3" ht="30" customHeight="1">
      <c r="A44" s="378" t="s">
        <v>477</v>
      </c>
      <c r="B44" s="378"/>
      <c r="C44" s="378"/>
    </row>
    <row r="45" spans="1:3">
      <c r="A45" s="280" t="s">
        <v>1</v>
      </c>
      <c r="B45" s="281" t="s">
        <v>2</v>
      </c>
      <c r="C45" s="280" t="s">
        <v>249</v>
      </c>
    </row>
    <row r="46" spans="1:3">
      <c r="A46" s="280" t="s">
        <v>3</v>
      </c>
      <c r="B46" s="282" t="s">
        <v>4</v>
      </c>
      <c r="C46" s="280"/>
    </row>
    <row r="47" spans="1:3" ht="60">
      <c r="A47" s="283" t="s">
        <v>5</v>
      </c>
      <c r="B47" s="284" t="s">
        <v>154</v>
      </c>
      <c r="C47" s="285">
        <f>(2*12)*5.25</f>
        <v>126</v>
      </c>
    </row>
    <row r="48" spans="1:3" ht="75">
      <c r="A48" s="283" t="s">
        <v>6</v>
      </c>
      <c r="B48" s="284" t="s">
        <v>289</v>
      </c>
      <c r="C48" s="285">
        <f>(20*0.74)+(13.2*0.74)</f>
        <v>24.567999999999998</v>
      </c>
    </row>
    <row r="49" spans="1:3" ht="75">
      <c r="A49" s="283" t="s">
        <v>7</v>
      </c>
      <c r="B49" s="284" t="s">
        <v>290</v>
      </c>
      <c r="C49" s="285">
        <f>((2*12)*6.85)+((1*20)*6.85)+((1*13.2)*6.85)</f>
        <v>391.81999999999994</v>
      </c>
    </row>
    <row r="50" spans="1:3">
      <c r="A50" s="283"/>
      <c r="B50" s="281" t="s">
        <v>10</v>
      </c>
      <c r="C50" s="286">
        <f>SUM(C47:C49)</f>
        <v>542.38799999999992</v>
      </c>
    </row>
    <row r="51" spans="1:3">
      <c r="A51" s="280" t="s">
        <v>11</v>
      </c>
      <c r="B51" s="281" t="s">
        <v>12</v>
      </c>
      <c r="C51" s="285"/>
    </row>
    <row r="52" spans="1:3">
      <c r="A52" s="283" t="s">
        <v>5</v>
      </c>
      <c r="B52" s="289" t="s">
        <v>288</v>
      </c>
      <c r="C52" s="287">
        <v>32</v>
      </c>
    </row>
    <row r="53" spans="1:3" ht="30">
      <c r="A53" s="283" t="s">
        <v>6</v>
      </c>
      <c r="B53" s="284" t="s">
        <v>25</v>
      </c>
      <c r="C53" s="296">
        <v>2</v>
      </c>
    </row>
    <row r="54" spans="1:3" ht="45">
      <c r="A54" s="283" t="s">
        <v>7</v>
      </c>
      <c r="B54" s="284" t="s">
        <v>250</v>
      </c>
      <c r="C54" s="285">
        <f>16*6.85</f>
        <v>109.6</v>
      </c>
    </row>
    <row r="55" spans="1:3">
      <c r="A55" s="283"/>
      <c r="B55" s="288" t="s">
        <v>10</v>
      </c>
      <c r="C55" s="286">
        <f>SUM(C52:C54)</f>
        <v>143.6</v>
      </c>
    </row>
    <row r="56" spans="1:3">
      <c r="A56" s="289"/>
      <c r="B56" s="281" t="s">
        <v>14</v>
      </c>
      <c r="C56" s="297">
        <f>C50-C55</f>
        <v>398.7879999999999</v>
      </c>
    </row>
    <row r="57" spans="1:3">
      <c r="A57" s="298"/>
      <c r="B57" s="299" t="s">
        <v>15</v>
      </c>
      <c r="C57" s="291">
        <v>320</v>
      </c>
    </row>
    <row r="58" spans="1:3">
      <c r="A58" s="292" t="s">
        <v>19</v>
      </c>
      <c r="B58" s="279" t="s">
        <v>16</v>
      </c>
      <c r="C58" s="279"/>
    </row>
    <row r="59" spans="1:3">
      <c r="A59" s="279"/>
      <c r="B59" s="279" t="s">
        <v>106</v>
      </c>
      <c r="C59" s="293">
        <f>0.2*1.2</f>
        <v>0.24</v>
      </c>
    </row>
    <row r="60" spans="1:3">
      <c r="A60" s="279"/>
      <c r="B60" s="279" t="s">
        <v>17</v>
      </c>
      <c r="C60" s="293">
        <f>0.5</f>
        <v>0.5</v>
      </c>
    </row>
    <row r="61" spans="1:3">
      <c r="A61" s="279"/>
      <c r="B61" s="294" t="s">
        <v>18</v>
      </c>
      <c r="C61" s="295">
        <f>SUM(C59:C60)</f>
        <v>0.74</v>
      </c>
    </row>
    <row r="62" spans="1:3" ht="15.75" thickBot="1">
      <c r="A62" s="278"/>
      <c r="B62" s="278"/>
      <c r="C62" s="278"/>
    </row>
    <row r="64" spans="1:3">
      <c r="B64" s="300" t="s">
        <v>478</v>
      </c>
      <c r="C64" s="300" t="s">
        <v>131</v>
      </c>
    </row>
    <row r="65" spans="1:9">
      <c r="A65" s="301" t="s">
        <v>70</v>
      </c>
      <c r="B65" s="301" t="s">
        <v>2</v>
      </c>
    </row>
    <row r="66" spans="1:9">
      <c r="A66" s="301" t="s">
        <v>5</v>
      </c>
      <c r="B66" s="260" t="s">
        <v>479</v>
      </c>
      <c r="C66" s="260">
        <v>335</v>
      </c>
    </row>
    <row r="67" spans="1:9" ht="30">
      <c r="A67" s="301" t="s">
        <v>6</v>
      </c>
      <c r="B67" s="302" t="s">
        <v>480</v>
      </c>
      <c r="C67" s="260">
        <f>16*6.85</f>
        <v>109.6</v>
      </c>
    </row>
    <row r="68" spans="1:9">
      <c r="B68" s="301" t="s">
        <v>481</v>
      </c>
      <c r="C68" s="260">
        <f>SUM(C66:C67)</f>
        <v>444.6</v>
      </c>
    </row>
    <row r="70" spans="1:9">
      <c r="B70" s="301" t="s">
        <v>482</v>
      </c>
    </row>
    <row r="73" spans="1:9" ht="15.75">
      <c r="A73" s="303" t="s">
        <v>506</v>
      </c>
      <c r="B73" s="304"/>
      <c r="C73" s="304"/>
      <c r="D73" s="304"/>
      <c r="E73" s="304"/>
      <c r="F73" s="304"/>
      <c r="G73" s="304"/>
      <c r="H73" s="304"/>
      <c r="I73" s="304"/>
    </row>
    <row r="74" spans="1:9" ht="117" customHeight="1">
      <c r="A74" s="386" t="s">
        <v>267</v>
      </c>
      <c r="B74" s="387"/>
      <c r="C74" s="387"/>
      <c r="D74" s="387"/>
      <c r="E74" s="387"/>
      <c r="F74" s="387"/>
      <c r="G74" s="305"/>
      <c r="H74" s="305"/>
      <c r="I74" s="305"/>
    </row>
    <row r="75" spans="1:9" ht="49.15" customHeight="1">
      <c r="A75" s="386" t="s">
        <v>178</v>
      </c>
      <c r="B75" s="387"/>
      <c r="C75" s="387"/>
      <c r="D75" s="387"/>
      <c r="E75" s="387"/>
      <c r="F75" s="387"/>
      <c r="G75" s="305"/>
      <c r="H75" s="305"/>
      <c r="I75" s="305"/>
    </row>
    <row r="76" spans="1:9" ht="67.900000000000006" customHeight="1">
      <c r="A76" s="386" t="s">
        <v>507</v>
      </c>
      <c r="B76" s="387"/>
      <c r="C76" s="387"/>
      <c r="D76" s="387"/>
      <c r="E76" s="387"/>
      <c r="F76" s="387"/>
      <c r="G76" s="305"/>
      <c r="H76" s="305"/>
      <c r="I76" s="305"/>
    </row>
    <row r="77" spans="1:9" ht="33.6" customHeight="1">
      <c r="A77" s="388" t="s">
        <v>508</v>
      </c>
      <c r="B77" s="387"/>
      <c r="C77" s="387"/>
      <c r="D77" s="387"/>
      <c r="E77" s="387"/>
      <c r="F77" s="387"/>
      <c r="G77" s="306"/>
      <c r="H77" s="306"/>
      <c r="I77" s="306"/>
    </row>
    <row r="78" spans="1:9" ht="42.6" customHeight="1">
      <c r="A78" s="389" t="s">
        <v>512</v>
      </c>
      <c r="B78" s="390"/>
      <c r="C78" s="390"/>
      <c r="D78" s="390"/>
      <c r="E78" s="390"/>
      <c r="F78" s="390"/>
      <c r="G78" s="307"/>
      <c r="H78" s="307"/>
      <c r="I78" s="307"/>
    </row>
    <row r="79" spans="1:9" ht="84" customHeight="1">
      <c r="B79" s="308" t="s">
        <v>266</v>
      </c>
      <c r="C79" s="308" t="s">
        <v>265</v>
      </c>
      <c r="D79" s="308" t="s">
        <v>357</v>
      </c>
      <c r="E79" s="308" t="s">
        <v>510</v>
      </c>
      <c r="F79" s="308" t="s">
        <v>511</v>
      </c>
      <c r="G79" s="308" t="s">
        <v>513</v>
      </c>
      <c r="I79" s="304"/>
    </row>
    <row r="80" spans="1:9" ht="31.15" customHeight="1">
      <c r="B80" s="310">
        <v>1.3</v>
      </c>
      <c r="C80" s="309">
        <v>120</v>
      </c>
      <c r="D80" s="311">
        <v>0.1</v>
      </c>
      <c r="E80" s="309">
        <v>20</v>
      </c>
      <c r="F80" s="309">
        <v>2</v>
      </c>
      <c r="G80" s="312">
        <v>312</v>
      </c>
      <c r="I80" s="304"/>
    </row>
    <row r="81" spans="1:9">
      <c r="A81" s="304"/>
      <c r="B81" s="304"/>
      <c r="C81" s="304"/>
      <c r="D81" s="304"/>
      <c r="E81" s="304"/>
      <c r="F81" s="304"/>
      <c r="G81" s="304"/>
      <c r="H81" s="304"/>
      <c r="I81" s="304"/>
    </row>
    <row r="82" spans="1:9">
      <c r="A82" s="51" t="s">
        <v>509</v>
      </c>
      <c r="B82" s="52"/>
      <c r="C82" s="28"/>
      <c r="D82" s="304"/>
      <c r="E82" s="304"/>
      <c r="F82" s="304"/>
      <c r="G82" s="304"/>
      <c r="H82" s="304"/>
      <c r="I82" s="304"/>
    </row>
    <row r="84" spans="1:9" ht="16.5" customHeight="1"/>
  </sheetData>
  <mergeCells count="12">
    <mergeCell ref="A74:F74"/>
    <mergeCell ref="A75:F75"/>
    <mergeCell ref="A77:F77"/>
    <mergeCell ref="A78:F78"/>
    <mergeCell ref="A76:F76"/>
    <mergeCell ref="A44:C44"/>
    <mergeCell ref="A1:C1"/>
    <mergeCell ref="A3:C3"/>
    <mergeCell ref="B17:C17"/>
    <mergeCell ref="A18:C18"/>
    <mergeCell ref="A20:C20"/>
    <mergeCell ref="A22:C22"/>
  </mergeCells>
  <pageMargins left="0.25" right="0.25" top="0.75" bottom="0.75" header="0.3" footer="0.3"/>
  <pageSetup paperSize="9" fitToHeight="0" orientation="landscape" r:id="rId1"/>
  <headerFooter>
    <oddFooter>&amp;R&amp;P</oddFooter>
  </headerFooter>
  <rowBreaks count="3" manualBreakCount="3">
    <brk id="19" max="16383" man="1"/>
    <brk id="53" max="6" man="1"/>
    <brk id="72" max="16383" man="1"/>
  </rowBreaks>
</worksheet>
</file>

<file path=xl/worksheets/sheet2.xml><?xml version="1.0" encoding="utf-8"?>
<worksheet xmlns="http://schemas.openxmlformats.org/spreadsheetml/2006/main" xmlns:r="http://schemas.openxmlformats.org/officeDocument/2006/relationships">
  <sheetPr codeName="Sheet2">
    <tabColor rgb="FF92D050"/>
    <pageSetUpPr fitToPage="1"/>
  </sheetPr>
  <dimension ref="A1:E21"/>
  <sheetViews>
    <sheetView workbookViewId="0">
      <selection activeCell="B8" sqref="B8"/>
    </sheetView>
  </sheetViews>
  <sheetFormatPr defaultColWidth="9.140625" defaultRowHeight="15"/>
  <cols>
    <col min="1" max="1" width="9.140625" style="52"/>
    <col min="2" max="2" width="49.7109375" style="52" customWidth="1"/>
    <col min="3" max="3" width="17.7109375" style="52" customWidth="1"/>
    <col min="4" max="16384" width="9.140625" style="52"/>
  </cols>
  <sheetData>
    <row r="1" spans="1:5" ht="27.75" customHeight="1">
      <c r="A1" s="314" t="s">
        <v>0</v>
      </c>
      <c r="B1" s="314"/>
      <c r="C1" s="314"/>
    </row>
    <row r="3" spans="1:5">
      <c r="A3" s="26" t="s">
        <v>1</v>
      </c>
      <c r="B3" s="25" t="s">
        <v>2</v>
      </c>
      <c r="C3" s="26" t="s">
        <v>143</v>
      </c>
    </row>
    <row r="4" spans="1:5">
      <c r="A4" s="26" t="s">
        <v>3</v>
      </c>
      <c r="B4" s="53" t="s">
        <v>4</v>
      </c>
      <c r="C4" s="26"/>
      <c r="E4" s="51"/>
    </row>
    <row r="5" spans="1:5" ht="45">
      <c r="A5" s="23" t="s">
        <v>5</v>
      </c>
      <c r="B5" s="24" t="s">
        <v>144</v>
      </c>
      <c r="C5" s="36">
        <f>3*20*6.85</f>
        <v>411</v>
      </c>
      <c r="E5" s="54"/>
    </row>
    <row r="6" spans="1:5" ht="45">
      <c r="A6" s="23" t="s">
        <v>6</v>
      </c>
      <c r="B6" s="24" t="s">
        <v>145</v>
      </c>
      <c r="C6" s="36">
        <f>3*13*6.85</f>
        <v>267.14999999999998</v>
      </c>
      <c r="E6" s="54"/>
    </row>
    <row r="7" spans="1:5" ht="30">
      <c r="A7" s="23" t="s">
        <v>7</v>
      </c>
      <c r="B7" s="24" t="s">
        <v>146</v>
      </c>
      <c r="C7" s="36">
        <f>60*0.74</f>
        <v>44.4</v>
      </c>
      <c r="E7" s="54"/>
    </row>
    <row r="8" spans="1:5" ht="45">
      <c r="A8" s="23" t="s">
        <v>8</v>
      </c>
      <c r="B8" s="24" t="s">
        <v>147</v>
      </c>
      <c r="C8" s="36">
        <f>39*2.7</f>
        <v>105.30000000000001</v>
      </c>
      <c r="E8" s="54"/>
    </row>
    <row r="9" spans="1:5">
      <c r="A9" s="23"/>
      <c r="B9" s="25" t="s">
        <v>148</v>
      </c>
      <c r="C9" s="37">
        <f>SUM(C5:C8)</f>
        <v>827.84999999999991</v>
      </c>
      <c r="E9" s="54"/>
    </row>
    <row r="10" spans="1:5">
      <c r="A10" s="26" t="s">
        <v>11</v>
      </c>
      <c r="B10" s="25" t="s">
        <v>12</v>
      </c>
      <c r="C10" s="36"/>
      <c r="E10" s="54"/>
    </row>
    <row r="11" spans="1:5">
      <c r="A11" s="23" t="s">
        <v>5</v>
      </c>
      <c r="B11" s="55" t="s">
        <v>13</v>
      </c>
      <c r="C11" s="35">
        <v>48</v>
      </c>
      <c r="E11" s="56"/>
    </row>
    <row r="12" spans="1:5" ht="45">
      <c r="A12" s="23" t="s">
        <v>6</v>
      </c>
      <c r="B12" s="24" t="s">
        <v>22</v>
      </c>
      <c r="C12" s="40">
        <f>24*0.115</f>
        <v>2.7600000000000002</v>
      </c>
      <c r="E12" s="54"/>
    </row>
    <row r="13" spans="1:5" ht="30">
      <c r="A13" s="23" t="s">
        <v>7</v>
      </c>
      <c r="B13" s="24" t="s">
        <v>149</v>
      </c>
      <c r="C13" s="36">
        <f>24*6.85</f>
        <v>164.39999999999998</v>
      </c>
      <c r="E13" s="54"/>
    </row>
    <row r="14" spans="1:5">
      <c r="A14" s="23"/>
      <c r="B14" s="57" t="s">
        <v>10</v>
      </c>
      <c r="C14" s="37">
        <f>SUM(C10:C13)</f>
        <v>215.15999999999997</v>
      </c>
    </row>
    <row r="15" spans="1:5">
      <c r="A15" s="42"/>
      <c r="B15" s="25" t="s">
        <v>14</v>
      </c>
      <c r="C15" s="37">
        <f>C9-C14</f>
        <v>612.68999999999994</v>
      </c>
    </row>
    <row r="16" spans="1:5">
      <c r="A16" s="58"/>
      <c r="B16" s="25" t="s">
        <v>15</v>
      </c>
      <c r="C16" s="59">
        <v>500</v>
      </c>
    </row>
    <row r="18" spans="1:3">
      <c r="A18" s="60" t="s">
        <v>19</v>
      </c>
      <c r="B18" s="52" t="s">
        <v>16</v>
      </c>
    </row>
    <row r="19" spans="1:3">
      <c r="B19" s="52" t="s">
        <v>106</v>
      </c>
      <c r="C19" s="61">
        <f>0.2*1.2</f>
        <v>0.24</v>
      </c>
    </row>
    <row r="20" spans="1:3">
      <c r="B20" s="52" t="s">
        <v>17</v>
      </c>
      <c r="C20" s="61">
        <f>0.5</f>
        <v>0.5</v>
      </c>
    </row>
    <row r="21" spans="1:3">
      <c r="B21" s="51" t="s">
        <v>18</v>
      </c>
      <c r="C21" s="62">
        <f>SUM(C19:C20)</f>
        <v>0.74</v>
      </c>
    </row>
  </sheetData>
  <mergeCells count="1">
    <mergeCell ref="A1:C1"/>
  </mergeCells>
  <pageMargins left="0.7" right="0.7" top="0.75" bottom="0.75" header="0.3" footer="0.3"/>
  <pageSetup paperSize="9" scale="92" orientation="portrait" r:id="rId1"/>
</worksheet>
</file>

<file path=xl/worksheets/sheet20.xml><?xml version="1.0" encoding="utf-8"?>
<worksheet xmlns="http://schemas.openxmlformats.org/spreadsheetml/2006/main" xmlns:r="http://schemas.openxmlformats.org/officeDocument/2006/relationships">
  <sheetPr codeName="Sheet20"/>
  <dimension ref="A1:K7"/>
  <sheetViews>
    <sheetView zoomScaleNormal="100" workbookViewId="0">
      <selection activeCell="B4" sqref="B4"/>
    </sheetView>
  </sheetViews>
  <sheetFormatPr defaultColWidth="9.140625" defaultRowHeight="15"/>
  <cols>
    <col min="1" max="1" width="4.140625" style="258" bestFit="1" customWidth="1"/>
    <col min="2" max="2" width="57.5703125" style="246" customWidth="1"/>
    <col min="3" max="3" width="12" style="259" customWidth="1"/>
    <col min="4" max="4" width="10.28515625" style="259" customWidth="1"/>
    <col min="5" max="16384" width="9.140625" style="246"/>
  </cols>
  <sheetData>
    <row r="1" spans="1:11">
      <c r="A1" s="391" t="s">
        <v>498</v>
      </c>
      <c r="B1" s="391"/>
      <c r="C1" s="391"/>
      <c r="D1" s="391"/>
    </row>
    <row r="2" spans="1:11" ht="25.5">
      <c r="A2" s="247" t="s">
        <v>70</v>
      </c>
      <c r="B2" s="248" t="s">
        <v>2</v>
      </c>
      <c r="C2" s="249" t="s">
        <v>483</v>
      </c>
      <c r="D2" s="249" t="s">
        <v>484</v>
      </c>
    </row>
    <row r="3" spans="1:11" ht="161.25" customHeight="1">
      <c r="A3" s="250">
        <v>2</v>
      </c>
      <c r="B3" s="251" t="s">
        <v>503</v>
      </c>
      <c r="C3" s="252">
        <v>32</v>
      </c>
      <c r="D3" s="252">
        <v>32</v>
      </c>
    </row>
    <row r="4" spans="1:11" ht="165.75">
      <c r="A4" s="250">
        <v>6</v>
      </c>
      <c r="B4" s="253" t="s">
        <v>504</v>
      </c>
      <c r="C4" s="252">
        <v>125</v>
      </c>
      <c r="D4" s="252">
        <v>125</v>
      </c>
      <c r="K4" s="246" t="s">
        <v>498</v>
      </c>
    </row>
    <row r="5" spans="1:11" ht="229.5">
      <c r="A5" s="250">
        <v>7</v>
      </c>
      <c r="B5" s="253" t="s">
        <v>505</v>
      </c>
      <c r="C5" s="254">
        <v>168</v>
      </c>
      <c r="D5" s="252">
        <v>408</v>
      </c>
    </row>
    <row r="6" spans="1:11">
      <c r="A6" s="250"/>
      <c r="B6" s="248" t="s">
        <v>485</v>
      </c>
      <c r="C6" s="255">
        <f>C5+C4+C3</f>
        <v>325</v>
      </c>
      <c r="D6" s="255">
        <f>D5+D4+D3</f>
        <v>565</v>
      </c>
    </row>
    <row r="7" spans="1:11">
      <c r="A7" s="392"/>
      <c r="B7" s="393"/>
      <c r="C7" s="256"/>
      <c r="D7" s="257"/>
    </row>
  </sheetData>
  <mergeCells count="2">
    <mergeCell ref="A1:D1"/>
    <mergeCell ref="A7:B7"/>
  </mergeCells>
  <pageMargins left="0.7" right="0.7" top="0.75" bottom="0.75" header="0.3" footer="0.3"/>
</worksheet>
</file>

<file path=xl/worksheets/sheet21.xml><?xml version="1.0" encoding="utf-8"?>
<worksheet xmlns="http://schemas.openxmlformats.org/spreadsheetml/2006/main" xmlns:r="http://schemas.openxmlformats.org/officeDocument/2006/relationships">
  <sheetPr codeName="Sheet21"/>
  <dimension ref="A1:D11"/>
  <sheetViews>
    <sheetView workbookViewId="0">
      <selection sqref="A1:C1"/>
    </sheetView>
  </sheetViews>
  <sheetFormatPr defaultRowHeight="15"/>
  <cols>
    <col min="2" max="2" width="42.85546875" bestFit="1" customWidth="1"/>
    <col min="3" max="3" width="25" bestFit="1" customWidth="1"/>
  </cols>
  <sheetData>
    <row r="1" spans="1:4">
      <c r="A1" s="394" t="s">
        <v>489</v>
      </c>
      <c r="B1" s="394"/>
      <c r="C1" s="395"/>
      <c r="D1" s="240"/>
    </row>
    <row r="2" spans="1:4">
      <c r="A2" s="396" t="s">
        <v>462</v>
      </c>
      <c r="B2" s="396"/>
      <c r="C2" s="396"/>
      <c r="D2" s="240"/>
    </row>
    <row r="3" spans="1:4">
      <c r="A3" s="397"/>
      <c r="B3" s="397"/>
      <c r="C3" s="398"/>
      <c r="D3" s="240"/>
    </row>
    <row r="4" spans="1:4">
      <c r="A4" s="234"/>
      <c r="B4" s="241" t="s">
        <v>490</v>
      </c>
      <c r="C4" s="34"/>
      <c r="D4" s="240"/>
    </row>
    <row r="5" spans="1:4">
      <c r="A5" s="234"/>
      <c r="B5" s="242" t="s">
        <v>464</v>
      </c>
      <c r="C5" s="34" t="s">
        <v>491</v>
      </c>
      <c r="D5" s="240"/>
    </row>
    <row r="6" spans="1:4" ht="30">
      <c r="A6" s="19"/>
      <c r="B6" s="243" t="s">
        <v>492</v>
      </c>
      <c r="C6" s="244">
        <v>22.5</v>
      </c>
      <c r="D6" s="240"/>
    </row>
    <row r="7" spans="1:4" ht="45">
      <c r="A7" s="19"/>
      <c r="B7" s="243" t="s">
        <v>493</v>
      </c>
      <c r="C7" s="244">
        <f>5*6.85</f>
        <v>34.25</v>
      </c>
      <c r="D7" s="240"/>
    </row>
    <row r="8" spans="1:4">
      <c r="A8" s="19"/>
      <c r="B8" s="160" t="s">
        <v>494</v>
      </c>
      <c r="C8" s="245">
        <f>SUM(C6:C7)</f>
        <v>56.75</v>
      </c>
      <c r="D8" s="240"/>
    </row>
    <row r="9" spans="1:4">
      <c r="A9" s="110"/>
      <c r="B9" s="399" t="s">
        <v>495</v>
      </c>
      <c r="C9" s="400"/>
      <c r="D9" s="240"/>
    </row>
    <row r="10" spans="1:4" ht="15" customHeight="1">
      <c r="A10" s="401" t="s">
        <v>475</v>
      </c>
      <c r="B10" s="401"/>
      <c r="C10" s="401"/>
      <c r="D10" s="240"/>
    </row>
    <row r="11" spans="1:4" ht="15.75" thickBot="1">
      <c r="A11" s="402"/>
      <c r="B11" s="402"/>
      <c r="C11" s="402"/>
      <c r="D11" s="240"/>
    </row>
  </sheetData>
  <mergeCells count="5">
    <mergeCell ref="A1:C1"/>
    <mergeCell ref="A2:C2"/>
    <mergeCell ref="A3:C3"/>
    <mergeCell ref="B9:C9"/>
    <mergeCell ref="A10:C11"/>
  </mergeCells>
  <pageMargins left="0.7" right="0.7" top="0.75" bottom="0.75" header="0.3" footer="0.3"/>
</worksheet>
</file>

<file path=xl/worksheets/sheet22.xml><?xml version="1.0" encoding="utf-8"?>
<worksheet xmlns="http://schemas.openxmlformats.org/spreadsheetml/2006/main" xmlns:r="http://schemas.openxmlformats.org/officeDocument/2006/relationships">
  <sheetPr codeName="Sheet22">
    <tabColor rgb="FF92D050"/>
    <pageSetUpPr fitToPage="1"/>
  </sheetPr>
  <dimension ref="A1:M159"/>
  <sheetViews>
    <sheetView topLeftCell="A40" workbookViewId="0">
      <selection activeCell="D50" sqref="D50"/>
    </sheetView>
  </sheetViews>
  <sheetFormatPr defaultColWidth="9.140625" defaultRowHeight="12.75"/>
  <cols>
    <col min="1" max="1" width="29.140625" style="169" customWidth="1"/>
    <col min="2" max="2" width="13.7109375" style="169" customWidth="1"/>
    <col min="3" max="3" width="13.140625" style="169" customWidth="1"/>
    <col min="4" max="4" width="10.5703125" style="169" customWidth="1"/>
    <col min="5" max="5" width="12.28515625" style="169" customWidth="1"/>
    <col min="6" max="6" width="10" style="169" customWidth="1"/>
    <col min="7" max="7" width="18.7109375" style="169" customWidth="1"/>
    <col min="8" max="8" width="10.5703125" style="169" customWidth="1"/>
    <col min="9" max="9" width="8.5703125" style="169" customWidth="1"/>
    <col min="10" max="16384" width="9.140625" style="169"/>
  </cols>
  <sheetData>
    <row r="1" spans="1:13">
      <c r="A1" s="172" t="s">
        <v>363</v>
      </c>
      <c r="B1" s="172"/>
      <c r="C1" s="173"/>
      <c r="D1" s="173"/>
      <c r="E1" s="173"/>
      <c r="F1" s="173"/>
      <c r="G1" s="173"/>
      <c r="H1" s="173"/>
      <c r="I1" s="173"/>
      <c r="J1" s="173"/>
      <c r="K1" s="173"/>
      <c r="L1" s="173"/>
      <c r="M1" s="173"/>
    </row>
    <row r="2" spans="1:13">
      <c r="A2" s="173"/>
      <c r="B2" s="173"/>
      <c r="C2" s="173"/>
      <c r="D2" s="173"/>
      <c r="E2" s="173"/>
      <c r="F2" s="173"/>
      <c r="G2" s="173"/>
      <c r="H2" s="173"/>
      <c r="I2" s="173"/>
      <c r="J2" s="173"/>
      <c r="K2" s="173"/>
      <c r="L2" s="173"/>
      <c r="M2" s="173"/>
    </row>
    <row r="3" spans="1:13">
      <c r="A3" s="403" t="s">
        <v>251</v>
      </c>
      <c r="B3" s="403"/>
      <c r="C3" s="403"/>
      <c r="D3" s="403"/>
      <c r="E3" s="403"/>
      <c r="F3" s="403"/>
      <c r="G3" s="403"/>
      <c r="H3" s="173"/>
      <c r="I3" s="173"/>
      <c r="J3" s="173"/>
      <c r="K3" s="173"/>
      <c r="L3" s="173"/>
      <c r="M3" s="173"/>
    </row>
    <row r="4" spans="1:13">
      <c r="A4" s="404" t="s">
        <v>240</v>
      </c>
      <c r="B4" s="404"/>
      <c r="C4" s="404"/>
      <c r="D4" s="404"/>
      <c r="E4" s="404"/>
      <c r="F4" s="404"/>
      <c r="G4" s="404"/>
      <c r="H4" s="173"/>
      <c r="I4" s="173"/>
      <c r="J4" s="173"/>
      <c r="K4" s="173"/>
      <c r="L4" s="173"/>
      <c r="M4" s="173"/>
    </row>
    <row r="5" spans="1:13" ht="82.5" customHeight="1">
      <c r="A5" s="405" t="s">
        <v>241</v>
      </c>
      <c r="B5" s="405"/>
      <c r="C5" s="405"/>
      <c r="D5" s="405"/>
      <c r="E5" s="405"/>
      <c r="F5" s="405"/>
      <c r="G5" s="405"/>
      <c r="H5" s="405"/>
      <c r="I5" s="173"/>
      <c r="J5" s="173"/>
      <c r="K5" s="173"/>
      <c r="L5" s="173"/>
      <c r="M5" s="173"/>
    </row>
    <row r="6" spans="1:13" ht="39" customHeight="1">
      <c r="A6" s="405" t="s">
        <v>238</v>
      </c>
      <c r="B6" s="405"/>
      <c r="C6" s="405"/>
      <c r="D6" s="405"/>
      <c r="E6" s="405"/>
      <c r="F6" s="405"/>
      <c r="G6" s="405"/>
      <c r="H6" s="405"/>
      <c r="I6" s="173"/>
      <c r="J6" s="173"/>
      <c r="K6" s="173"/>
      <c r="L6" s="173"/>
      <c r="M6" s="173"/>
    </row>
    <row r="7" spans="1:13" ht="30.75" customHeight="1">
      <c r="A7" s="405" t="s">
        <v>231</v>
      </c>
      <c r="B7" s="405"/>
      <c r="C7" s="405"/>
      <c r="D7" s="405"/>
      <c r="E7" s="405"/>
      <c r="F7" s="405"/>
      <c r="G7" s="405"/>
      <c r="H7" s="173"/>
      <c r="I7" s="173"/>
      <c r="J7" s="173"/>
      <c r="K7" s="173"/>
      <c r="L7" s="173"/>
      <c r="M7" s="173"/>
    </row>
    <row r="8" spans="1:13" ht="27.75" customHeight="1">
      <c r="A8" s="405" t="s">
        <v>232</v>
      </c>
      <c r="B8" s="405"/>
      <c r="C8" s="405"/>
      <c r="D8" s="405"/>
      <c r="E8" s="405"/>
      <c r="F8" s="405"/>
      <c r="G8" s="405"/>
      <c r="H8" s="173"/>
      <c r="I8" s="173"/>
      <c r="J8" s="173"/>
      <c r="K8" s="173"/>
      <c r="L8" s="173"/>
      <c r="M8" s="173"/>
    </row>
    <row r="9" spans="1:13" ht="30.75" customHeight="1">
      <c r="A9" s="315" t="s">
        <v>366</v>
      </c>
      <c r="B9" s="315"/>
      <c r="C9" s="315"/>
      <c r="D9" s="315"/>
      <c r="E9" s="315"/>
      <c r="F9" s="315"/>
      <c r="G9" s="315"/>
      <c r="H9" s="173"/>
      <c r="I9" s="173"/>
      <c r="J9" s="173"/>
      <c r="K9" s="173"/>
      <c r="L9" s="173"/>
      <c r="M9" s="173"/>
    </row>
    <row r="10" spans="1:13">
      <c r="A10" s="403" t="s">
        <v>305</v>
      </c>
      <c r="B10" s="403"/>
      <c r="C10" s="403"/>
      <c r="D10" s="403"/>
      <c r="E10" s="403"/>
      <c r="F10" s="403"/>
      <c r="G10" s="403"/>
      <c r="H10" s="173"/>
      <c r="I10" s="173"/>
      <c r="J10" s="173"/>
      <c r="K10" s="173"/>
      <c r="L10" s="173"/>
      <c r="M10" s="173"/>
    </row>
    <row r="11" spans="1:13" ht="67.5" customHeight="1">
      <c r="A11" s="410" t="s">
        <v>49</v>
      </c>
      <c r="B11" s="411"/>
      <c r="C11" s="174" t="s">
        <v>349</v>
      </c>
      <c r="D11" s="174" t="s">
        <v>438</v>
      </c>
      <c r="E11" s="174" t="s">
        <v>439</v>
      </c>
      <c r="F11" s="174" t="s">
        <v>85</v>
      </c>
      <c r="G11" s="172"/>
      <c r="H11" s="173"/>
      <c r="I11" s="173"/>
      <c r="J11" s="173"/>
      <c r="K11" s="173"/>
      <c r="L11" s="173"/>
      <c r="M11" s="173"/>
    </row>
    <row r="12" spans="1:13">
      <c r="A12" s="406" t="s">
        <v>311</v>
      </c>
      <c r="B12" s="407"/>
      <c r="C12" s="175">
        <v>2.1</v>
      </c>
      <c r="D12" s="175">
        <v>1713</v>
      </c>
      <c r="E12" s="175">
        <v>821</v>
      </c>
      <c r="F12" s="176">
        <f>D12+E12</f>
        <v>2534</v>
      </c>
      <c r="G12" s="173"/>
      <c r="H12" s="173"/>
      <c r="I12" s="173"/>
      <c r="J12" s="173"/>
      <c r="K12" s="173"/>
      <c r="L12" s="173"/>
      <c r="M12" s="173"/>
    </row>
    <row r="13" spans="1:13">
      <c r="A13" s="406" t="s">
        <v>198</v>
      </c>
      <c r="B13" s="407"/>
      <c r="C13" s="175">
        <v>30</v>
      </c>
      <c r="D13" s="175">
        <v>3682</v>
      </c>
      <c r="E13" s="175">
        <v>1058.5999999999999</v>
      </c>
      <c r="F13" s="176">
        <f>D13+E13</f>
        <v>4740.6000000000004</v>
      </c>
      <c r="G13" s="173"/>
      <c r="H13" s="173"/>
      <c r="I13" s="173"/>
      <c r="J13" s="173"/>
      <c r="K13" s="173"/>
      <c r="L13" s="173"/>
      <c r="M13" s="173"/>
    </row>
    <row r="14" spans="1:13">
      <c r="A14" s="406" t="s">
        <v>199</v>
      </c>
      <c r="B14" s="407"/>
      <c r="C14" s="175">
        <v>10</v>
      </c>
      <c r="D14" s="175">
        <v>2730</v>
      </c>
      <c r="E14" s="175">
        <v>1059.0999999999999</v>
      </c>
      <c r="F14" s="176">
        <f>D14+E14</f>
        <v>3789.1</v>
      </c>
      <c r="G14" s="173"/>
      <c r="H14" s="173"/>
      <c r="I14" s="173"/>
      <c r="J14" s="173"/>
      <c r="K14" s="173"/>
      <c r="L14" s="173"/>
      <c r="M14" s="173"/>
    </row>
    <row r="15" spans="1:13">
      <c r="A15" s="406" t="s">
        <v>200</v>
      </c>
      <c r="B15" s="407"/>
      <c r="C15" s="175">
        <v>6</v>
      </c>
      <c r="D15" s="175">
        <v>1310.4000000000001</v>
      </c>
      <c r="E15" s="175">
        <v>232.7</v>
      </c>
      <c r="F15" s="176">
        <f>D15+E15</f>
        <v>1543.1000000000001</v>
      </c>
      <c r="G15" s="173"/>
      <c r="H15" s="173"/>
      <c r="I15" s="173"/>
      <c r="J15" s="173"/>
      <c r="K15" s="173"/>
      <c r="L15" s="173"/>
      <c r="M15" s="173"/>
    </row>
    <row r="16" spans="1:13">
      <c r="A16" s="406" t="s">
        <v>310</v>
      </c>
      <c r="B16" s="407"/>
      <c r="C16" s="177">
        <v>0.52500000000000002</v>
      </c>
      <c r="D16" s="175">
        <v>276</v>
      </c>
      <c r="E16" s="175">
        <v>517.04999999999995</v>
      </c>
      <c r="F16" s="176">
        <f>D16+E16</f>
        <v>793.05</v>
      </c>
      <c r="G16" s="173"/>
      <c r="H16" s="173"/>
      <c r="I16" s="173"/>
      <c r="J16" s="173"/>
      <c r="K16" s="173"/>
      <c r="L16" s="173"/>
      <c r="M16" s="173"/>
    </row>
    <row r="17" spans="1:13">
      <c r="A17" s="408" t="s">
        <v>364</v>
      </c>
      <c r="B17" s="175" t="s">
        <v>308</v>
      </c>
      <c r="C17" s="175">
        <v>1.38</v>
      </c>
      <c r="D17" s="408">
        <v>314.17</v>
      </c>
      <c r="E17" s="408">
        <v>93.83</v>
      </c>
      <c r="F17" s="408">
        <f>(D17+E17)-22.5</f>
        <v>385.5</v>
      </c>
      <c r="G17" s="412"/>
      <c r="H17" s="173"/>
      <c r="I17" s="173"/>
      <c r="J17" s="173"/>
      <c r="K17" s="173"/>
      <c r="L17" s="173"/>
      <c r="M17" s="173"/>
    </row>
    <row r="18" spans="1:13">
      <c r="A18" s="409"/>
      <c r="B18" s="175" t="s">
        <v>309</v>
      </c>
      <c r="C18" s="175">
        <v>2.6</v>
      </c>
      <c r="D18" s="409"/>
      <c r="E18" s="409"/>
      <c r="F18" s="409"/>
      <c r="G18" s="412"/>
      <c r="H18" s="173"/>
      <c r="I18" s="173"/>
      <c r="J18" s="173"/>
      <c r="K18" s="173"/>
      <c r="L18" s="173"/>
      <c r="M18" s="173"/>
    </row>
    <row r="19" spans="1:13">
      <c r="A19" s="406" t="s">
        <v>51</v>
      </c>
      <c r="B19" s="407"/>
      <c r="C19" s="175">
        <v>26.25</v>
      </c>
      <c r="D19" s="175">
        <v>1689.19</v>
      </c>
      <c r="E19" s="175">
        <v>603.70000000000005</v>
      </c>
      <c r="F19" s="175">
        <f>D19+E19</f>
        <v>2292.8900000000003</v>
      </c>
      <c r="G19" s="173"/>
      <c r="H19" s="173"/>
      <c r="I19" s="173"/>
      <c r="J19" s="173"/>
      <c r="K19" s="173"/>
      <c r="L19" s="173"/>
      <c r="M19" s="173"/>
    </row>
    <row r="20" spans="1:13">
      <c r="A20" s="408" t="s">
        <v>201</v>
      </c>
      <c r="B20" s="175" t="s">
        <v>216</v>
      </c>
      <c r="C20" s="175">
        <v>29.25</v>
      </c>
      <c r="D20" s="408">
        <v>3971</v>
      </c>
      <c r="E20" s="408">
        <v>966</v>
      </c>
      <c r="F20" s="408">
        <f>D20+E20</f>
        <v>4937</v>
      </c>
      <c r="G20" s="412"/>
      <c r="H20" s="173"/>
      <c r="I20" s="173"/>
      <c r="J20" s="173"/>
      <c r="K20" s="173"/>
      <c r="L20" s="173"/>
      <c r="M20" s="173"/>
    </row>
    <row r="21" spans="1:13">
      <c r="A21" s="413"/>
      <c r="B21" s="175" t="s">
        <v>306</v>
      </c>
      <c r="C21" s="175">
        <v>19.5</v>
      </c>
      <c r="D21" s="413"/>
      <c r="E21" s="413"/>
      <c r="F21" s="413"/>
      <c r="G21" s="412"/>
      <c r="H21" s="173"/>
      <c r="I21" s="173"/>
      <c r="J21" s="173"/>
      <c r="K21" s="173"/>
      <c r="L21" s="173"/>
      <c r="M21" s="173"/>
    </row>
    <row r="22" spans="1:13">
      <c r="A22" s="409"/>
      <c r="B22" s="175" t="s">
        <v>307</v>
      </c>
      <c r="C22" s="175">
        <v>39</v>
      </c>
      <c r="D22" s="409"/>
      <c r="E22" s="409"/>
      <c r="F22" s="409"/>
      <c r="G22" s="412"/>
      <c r="H22" s="173"/>
      <c r="I22" s="173"/>
      <c r="J22" s="173"/>
      <c r="K22" s="173"/>
      <c r="L22" s="173"/>
      <c r="M22" s="173"/>
    </row>
    <row r="23" spans="1:13">
      <c r="A23" s="406" t="s">
        <v>202</v>
      </c>
      <c r="B23" s="407"/>
      <c r="C23" s="175">
        <v>8.5</v>
      </c>
      <c r="D23" s="175">
        <v>139.75</v>
      </c>
      <c r="E23" s="175">
        <v>610</v>
      </c>
      <c r="F23" s="175">
        <f>D23+E23</f>
        <v>749.75</v>
      </c>
      <c r="G23" s="173"/>
      <c r="H23" s="173"/>
      <c r="I23" s="173"/>
      <c r="J23" s="173"/>
      <c r="K23" s="173"/>
      <c r="L23" s="173"/>
      <c r="M23" s="173"/>
    </row>
    <row r="24" spans="1:13">
      <c r="A24" s="173"/>
      <c r="B24" s="173"/>
      <c r="C24" s="173"/>
      <c r="D24" s="173"/>
      <c r="E24" s="173"/>
      <c r="F24" s="173"/>
      <c r="G24" s="173"/>
      <c r="H24" s="173"/>
      <c r="I24" s="173"/>
      <c r="J24" s="173"/>
      <c r="K24" s="173"/>
      <c r="L24" s="173"/>
      <c r="M24" s="173"/>
    </row>
    <row r="25" spans="1:13" ht="15">
      <c r="A25" s="173" t="s">
        <v>440</v>
      </c>
      <c r="B25" s="173"/>
      <c r="C25" s="173"/>
      <c r="D25" s="173"/>
      <c r="E25" s="173"/>
      <c r="F25" s="173"/>
      <c r="G25" s="173"/>
      <c r="H25" s="173"/>
      <c r="I25" s="173"/>
      <c r="J25" s="173"/>
      <c r="K25" s="173"/>
      <c r="L25" s="173"/>
      <c r="M25" s="173"/>
    </row>
    <row r="26" spans="1:13" ht="15">
      <c r="A26" s="173" t="s">
        <v>441</v>
      </c>
      <c r="B26" s="173"/>
      <c r="C26" s="173"/>
      <c r="D26" s="173"/>
      <c r="E26" s="173"/>
      <c r="F26" s="173"/>
      <c r="G26" s="173"/>
      <c r="H26" s="173"/>
      <c r="I26" s="173"/>
      <c r="J26" s="173"/>
      <c r="K26" s="173"/>
      <c r="L26" s="173"/>
      <c r="M26" s="173"/>
    </row>
    <row r="27" spans="1:13" ht="25.5" customHeight="1">
      <c r="A27" s="405" t="s">
        <v>365</v>
      </c>
      <c r="B27" s="405"/>
      <c r="C27" s="405"/>
      <c r="D27" s="405"/>
      <c r="E27" s="405"/>
      <c r="F27" s="405"/>
      <c r="G27" s="405"/>
      <c r="H27" s="405"/>
      <c r="I27" s="173"/>
      <c r="J27" s="173"/>
      <c r="K27" s="173"/>
      <c r="L27" s="173"/>
      <c r="M27" s="173"/>
    </row>
    <row r="28" spans="1:13">
      <c r="A28" s="172" t="s">
        <v>203</v>
      </c>
      <c r="B28" s="172"/>
      <c r="C28" s="172"/>
      <c r="D28" s="173"/>
      <c r="E28" s="173"/>
      <c r="F28" s="173"/>
      <c r="G28" s="173"/>
      <c r="H28" s="173"/>
      <c r="I28" s="173"/>
      <c r="J28" s="173"/>
      <c r="K28" s="173"/>
      <c r="L28" s="173"/>
      <c r="M28" s="173"/>
    </row>
    <row r="29" spans="1:13">
      <c r="A29" s="173"/>
      <c r="B29" s="173"/>
      <c r="C29" s="173"/>
      <c r="D29" s="173"/>
      <c r="E29" s="173"/>
      <c r="F29" s="173"/>
      <c r="G29" s="173"/>
      <c r="H29" s="173"/>
      <c r="I29" s="173"/>
      <c r="J29" s="173"/>
      <c r="K29" s="173"/>
      <c r="L29" s="173"/>
      <c r="M29" s="173"/>
    </row>
    <row r="30" spans="1:13" ht="38.25">
      <c r="A30" s="410" t="s">
        <v>312</v>
      </c>
      <c r="B30" s="411"/>
      <c r="C30" s="174" t="s">
        <v>204</v>
      </c>
      <c r="D30" s="174" t="s">
        <v>205</v>
      </c>
      <c r="E30" s="173"/>
      <c r="F30" s="173"/>
      <c r="G30" s="173"/>
      <c r="H30" s="173"/>
      <c r="I30" s="173"/>
      <c r="J30" s="173"/>
      <c r="K30" s="173"/>
      <c r="L30" s="173"/>
      <c r="M30" s="173"/>
    </row>
    <row r="31" spans="1:13">
      <c r="A31" s="406" t="s">
        <v>314</v>
      </c>
      <c r="B31" s="407"/>
      <c r="C31" s="175">
        <v>2.1</v>
      </c>
      <c r="D31" s="175">
        <v>3</v>
      </c>
      <c r="E31" s="173"/>
      <c r="F31" s="173"/>
      <c r="G31" s="173"/>
      <c r="H31" s="173"/>
      <c r="I31" s="173"/>
      <c r="J31" s="173"/>
      <c r="K31" s="173"/>
      <c r="L31" s="173"/>
      <c r="M31" s="173"/>
    </row>
    <row r="32" spans="1:13">
      <c r="A32" s="406" t="s">
        <v>317</v>
      </c>
      <c r="B32" s="407"/>
      <c r="C32" s="175">
        <v>3370</v>
      </c>
      <c r="D32" s="175">
        <v>2930</v>
      </c>
      <c r="E32" s="173"/>
      <c r="F32" s="173"/>
      <c r="G32" s="173"/>
      <c r="H32" s="173"/>
      <c r="I32" s="173"/>
      <c r="J32" s="173"/>
      <c r="K32" s="173"/>
      <c r="L32" s="173"/>
      <c r="M32" s="173"/>
    </row>
    <row r="33" spans="1:13">
      <c r="A33" s="406" t="s">
        <v>316</v>
      </c>
      <c r="B33" s="407"/>
      <c r="C33" s="175">
        <f>C31*C32</f>
        <v>7077</v>
      </c>
      <c r="D33" s="175">
        <f>D31*D32</f>
        <v>8790</v>
      </c>
      <c r="E33" s="173"/>
      <c r="F33" s="173"/>
      <c r="G33" s="173"/>
      <c r="H33" s="173"/>
      <c r="I33" s="173"/>
      <c r="J33" s="173"/>
      <c r="K33" s="173"/>
      <c r="L33" s="173"/>
      <c r="M33" s="173"/>
    </row>
    <row r="34" spans="1:13">
      <c r="A34" s="406" t="s">
        <v>320</v>
      </c>
      <c r="B34" s="407"/>
      <c r="C34" s="414">
        <f>D33-C33</f>
        <v>1713</v>
      </c>
      <c r="D34" s="414"/>
      <c r="E34" s="173"/>
      <c r="F34" s="173"/>
      <c r="G34" s="173"/>
      <c r="H34" s="173"/>
      <c r="I34" s="173"/>
      <c r="J34" s="173"/>
      <c r="K34" s="173"/>
      <c r="L34" s="173"/>
      <c r="M34" s="173"/>
    </row>
    <row r="35" spans="1:13">
      <c r="A35" s="406" t="s">
        <v>315</v>
      </c>
      <c r="B35" s="407"/>
      <c r="C35" s="175">
        <v>9028</v>
      </c>
      <c r="D35" s="175">
        <v>8207</v>
      </c>
      <c r="E35" s="173"/>
      <c r="F35" s="173"/>
      <c r="G35" s="173"/>
      <c r="H35" s="173"/>
      <c r="I35" s="173"/>
      <c r="J35" s="173"/>
      <c r="K35" s="173"/>
      <c r="L35" s="173"/>
      <c r="M35" s="173"/>
    </row>
    <row r="36" spans="1:13">
      <c r="A36" s="406" t="s">
        <v>321</v>
      </c>
      <c r="B36" s="407"/>
      <c r="C36" s="414">
        <f>C35-D35</f>
        <v>821</v>
      </c>
      <c r="D36" s="414"/>
      <c r="E36" s="173"/>
      <c r="F36" s="173"/>
      <c r="G36" s="173"/>
      <c r="H36" s="173"/>
      <c r="I36" s="173"/>
      <c r="J36" s="173"/>
      <c r="K36" s="173"/>
      <c r="L36" s="173"/>
      <c r="M36" s="173"/>
    </row>
    <row r="37" spans="1:13" ht="15" customHeight="1">
      <c r="A37" s="178" t="s">
        <v>442</v>
      </c>
      <c r="B37" s="173"/>
      <c r="C37" s="173"/>
      <c r="D37" s="173"/>
      <c r="E37" s="173"/>
      <c r="F37" s="173"/>
      <c r="G37" s="173"/>
      <c r="H37" s="173"/>
      <c r="I37" s="173"/>
      <c r="J37" s="173"/>
      <c r="K37" s="173"/>
      <c r="L37" s="173"/>
      <c r="M37" s="173"/>
    </row>
    <row r="38" spans="1:13">
      <c r="A38" s="173"/>
      <c r="B38" s="173"/>
      <c r="C38" s="173"/>
      <c r="D38" s="173"/>
      <c r="E38" s="173"/>
      <c r="F38" s="173"/>
      <c r="G38" s="173"/>
      <c r="H38" s="173"/>
      <c r="I38" s="173"/>
      <c r="J38" s="173"/>
      <c r="K38" s="173"/>
      <c r="L38" s="173"/>
      <c r="M38" s="173"/>
    </row>
    <row r="39" spans="1:13" ht="38.25">
      <c r="A39" s="410" t="s">
        <v>318</v>
      </c>
      <c r="B39" s="411"/>
      <c r="C39" s="174" t="s">
        <v>204</v>
      </c>
      <c r="D39" s="174" t="s">
        <v>205</v>
      </c>
      <c r="E39" s="173"/>
      <c r="F39" s="173"/>
      <c r="G39" s="173"/>
      <c r="H39" s="173"/>
      <c r="I39" s="173"/>
      <c r="J39" s="173"/>
      <c r="K39" s="173"/>
      <c r="L39" s="173"/>
      <c r="M39" s="173"/>
    </row>
    <row r="40" spans="1:13">
      <c r="A40" s="414" t="s">
        <v>209</v>
      </c>
      <c r="B40" s="414"/>
      <c r="C40" s="176">
        <v>30</v>
      </c>
      <c r="D40" s="176">
        <v>50</v>
      </c>
      <c r="E40" s="173"/>
      <c r="F40" s="173"/>
      <c r="G40" s="173"/>
      <c r="H40" s="173"/>
      <c r="I40" s="173"/>
      <c r="J40" s="173"/>
      <c r="K40" s="173"/>
      <c r="L40" s="173"/>
      <c r="M40" s="173"/>
    </row>
    <row r="41" spans="1:13">
      <c r="A41" s="414" t="s">
        <v>206</v>
      </c>
      <c r="B41" s="414"/>
      <c r="C41" s="176">
        <v>315.60000000000002</v>
      </c>
      <c r="D41" s="176">
        <v>263</v>
      </c>
      <c r="E41" s="173"/>
      <c r="F41" s="173"/>
      <c r="G41" s="173"/>
      <c r="H41" s="173"/>
      <c r="I41" s="173"/>
      <c r="J41" s="173"/>
      <c r="K41" s="173"/>
      <c r="L41" s="173"/>
      <c r="M41" s="173"/>
    </row>
    <row r="42" spans="1:13">
      <c r="A42" s="414" t="s">
        <v>207</v>
      </c>
      <c r="B42" s="414"/>
      <c r="C42" s="176">
        <f>C40*C41</f>
        <v>9468</v>
      </c>
      <c r="D42" s="176">
        <f>D40*D41</f>
        <v>13150</v>
      </c>
      <c r="E42" s="173"/>
      <c r="F42" s="173"/>
      <c r="G42" s="173"/>
      <c r="H42" s="173"/>
      <c r="I42" s="173"/>
      <c r="J42" s="173"/>
      <c r="K42" s="173"/>
      <c r="L42" s="173"/>
      <c r="M42" s="173"/>
    </row>
    <row r="43" spans="1:13">
      <c r="A43" s="406" t="s">
        <v>320</v>
      </c>
      <c r="B43" s="407"/>
      <c r="C43" s="415">
        <f>D42-C42</f>
        <v>3682</v>
      </c>
      <c r="D43" s="415"/>
      <c r="E43" s="173"/>
      <c r="F43" s="173"/>
      <c r="G43" s="173"/>
      <c r="H43" s="173"/>
      <c r="I43" s="173"/>
      <c r="J43" s="173"/>
      <c r="K43" s="173"/>
      <c r="L43" s="173"/>
      <c r="M43" s="173"/>
    </row>
    <row r="44" spans="1:13">
      <c r="A44" s="414" t="s">
        <v>208</v>
      </c>
      <c r="B44" s="414"/>
      <c r="C44" s="176">
        <v>9651.6</v>
      </c>
      <c r="D44" s="176">
        <v>8593</v>
      </c>
      <c r="E44" s="173"/>
      <c r="F44" s="173"/>
      <c r="G44" s="173"/>
      <c r="H44" s="173"/>
      <c r="I44" s="173"/>
      <c r="J44" s="173"/>
      <c r="K44" s="173"/>
      <c r="L44" s="173"/>
      <c r="M44" s="173"/>
    </row>
    <row r="45" spans="1:13">
      <c r="A45" s="406" t="s">
        <v>321</v>
      </c>
      <c r="B45" s="407"/>
      <c r="C45" s="415">
        <f>C44-D44</f>
        <v>1058.6000000000004</v>
      </c>
      <c r="D45" s="415"/>
      <c r="E45" s="173"/>
      <c r="F45" s="173"/>
      <c r="G45" s="173"/>
      <c r="H45" s="173"/>
      <c r="I45" s="173"/>
      <c r="J45" s="173"/>
      <c r="K45" s="173"/>
      <c r="L45" s="173"/>
      <c r="M45" s="173"/>
    </row>
    <row r="46" spans="1:13" ht="15" customHeight="1">
      <c r="A46" s="178" t="s">
        <v>442</v>
      </c>
      <c r="B46" s="173"/>
      <c r="C46" s="173"/>
      <c r="D46" s="173"/>
      <c r="E46" s="173"/>
      <c r="F46" s="173"/>
      <c r="G46" s="173"/>
      <c r="H46" s="173"/>
      <c r="I46" s="173"/>
      <c r="J46" s="173"/>
      <c r="K46" s="173"/>
      <c r="L46" s="173"/>
      <c r="M46" s="173"/>
    </row>
    <row r="47" spans="1:13">
      <c r="A47" s="173"/>
      <c r="B47" s="173"/>
      <c r="C47" s="173"/>
      <c r="D47" s="173"/>
      <c r="E47" s="173"/>
      <c r="F47" s="173"/>
      <c r="G47" s="173"/>
      <c r="H47" s="173"/>
      <c r="I47" s="173"/>
      <c r="J47" s="173"/>
      <c r="K47" s="173"/>
      <c r="L47" s="173"/>
      <c r="M47" s="173"/>
    </row>
    <row r="48" spans="1:13" ht="38.25">
      <c r="A48" s="416" t="s">
        <v>319</v>
      </c>
      <c r="B48" s="416"/>
      <c r="C48" s="174" t="s">
        <v>204</v>
      </c>
      <c r="D48" s="174" t="s">
        <v>205</v>
      </c>
      <c r="E48" s="173"/>
      <c r="F48" s="173"/>
      <c r="G48" s="173"/>
      <c r="H48" s="173"/>
      <c r="I48" s="173"/>
      <c r="J48" s="173"/>
      <c r="K48" s="173"/>
      <c r="L48" s="173"/>
      <c r="M48" s="173"/>
    </row>
    <row r="49" spans="1:13">
      <c r="A49" s="414" t="s">
        <v>209</v>
      </c>
      <c r="B49" s="414"/>
      <c r="C49" s="175">
        <v>10</v>
      </c>
      <c r="D49" s="175">
        <v>20</v>
      </c>
      <c r="E49" s="173"/>
      <c r="F49" s="173"/>
      <c r="G49" s="173"/>
      <c r="H49" s="173"/>
      <c r="I49" s="173"/>
      <c r="J49" s="173"/>
      <c r="K49" s="173"/>
      <c r="L49" s="173"/>
      <c r="M49" s="173"/>
    </row>
    <row r="50" spans="1:13">
      <c r="A50" s="414" t="s">
        <v>317</v>
      </c>
      <c r="B50" s="414"/>
      <c r="C50" s="175">
        <v>507</v>
      </c>
      <c r="D50" s="175">
        <v>390</v>
      </c>
      <c r="E50" s="173"/>
      <c r="F50" s="173"/>
      <c r="G50" s="173"/>
      <c r="H50" s="173"/>
      <c r="I50" s="173"/>
      <c r="J50" s="173"/>
      <c r="K50" s="173"/>
      <c r="L50" s="173"/>
      <c r="M50" s="173"/>
    </row>
    <row r="51" spans="1:13">
      <c r="A51" s="414" t="s">
        <v>316</v>
      </c>
      <c r="B51" s="414"/>
      <c r="C51" s="175">
        <v>5070</v>
      </c>
      <c r="D51" s="175">
        <v>7800</v>
      </c>
      <c r="E51" s="173"/>
      <c r="F51" s="173"/>
      <c r="G51" s="173"/>
      <c r="H51" s="173"/>
      <c r="I51" s="173"/>
      <c r="J51" s="173"/>
      <c r="K51" s="173"/>
      <c r="L51" s="173"/>
      <c r="M51" s="173"/>
    </row>
    <row r="52" spans="1:13">
      <c r="A52" s="414" t="s">
        <v>320</v>
      </c>
      <c r="B52" s="414"/>
      <c r="C52" s="415">
        <f>D51-C51</f>
        <v>2730</v>
      </c>
      <c r="D52" s="415"/>
      <c r="E52" s="173"/>
      <c r="F52" s="173"/>
      <c r="G52" s="173"/>
      <c r="H52" s="173"/>
      <c r="I52" s="173"/>
      <c r="J52" s="173"/>
      <c r="K52" s="173"/>
      <c r="L52" s="173"/>
      <c r="M52" s="173"/>
    </row>
    <row r="53" spans="1:13">
      <c r="A53" s="414" t="s">
        <v>208</v>
      </c>
      <c r="B53" s="414"/>
      <c r="C53" s="176">
        <v>6807.1</v>
      </c>
      <c r="D53" s="176">
        <v>5748</v>
      </c>
      <c r="E53" s="173"/>
      <c r="F53" s="173"/>
      <c r="G53" s="173"/>
      <c r="H53" s="173"/>
      <c r="I53" s="173"/>
      <c r="J53" s="173"/>
      <c r="K53" s="173"/>
      <c r="L53" s="173"/>
      <c r="M53" s="173"/>
    </row>
    <row r="54" spans="1:13">
      <c r="A54" s="406" t="s">
        <v>321</v>
      </c>
      <c r="B54" s="407"/>
      <c r="C54" s="415">
        <f>C53-D53</f>
        <v>1059.1000000000004</v>
      </c>
      <c r="D54" s="415"/>
      <c r="E54" s="173"/>
      <c r="F54" s="173"/>
      <c r="G54" s="173"/>
      <c r="H54" s="173"/>
      <c r="I54" s="173"/>
      <c r="J54" s="173"/>
      <c r="K54" s="173"/>
      <c r="L54" s="173"/>
      <c r="M54" s="173"/>
    </row>
    <row r="55" spans="1:13">
      <c r="A55" s="178" t="s">
        <v>313</v>
      </c>
      <c r="B55" s="173"/>
      <c r="C55" s="173"/>
      <c r="D55" s="173"/>
      <c r="E55" s="173"/>
      <c r="F55" s="173"/>
      <c r="G55" s="173"/>
      <c r="H55" s="173"/>
      <c r="I55" s="173"/>
      <c r="J55" s="173"/>
      <c r="K55" s="173"/>
      <c r="L55" s="173"/>
      <c r="M55" s="173"/>
    </row>
    <row r="56" spans="1:13">
      <c r="A56" s="173"/>
      <c r="B56" s="173"/>
      <c r="C56" s="173"/>
      <c r="D56" s="173"/>
      <c r="E56" s="173"/>
      <c r="F56" s="173"/>
      <c r="G56" s="173"/>
      <c r="H56" s="173"/>
      <c r="I56" s="173"/>
      <c r="J56" s="173"/>
      <c r="K56" s="173"/>
      <c r="L56" s="173"/>
      <c r="M56" s="173"/>
    </row>
    <row r="57" spans="1:13" ht="38.25">
      <c r="A57" s="416" t="s">
        <v>322</v>
      </c>
      <c r="B57" s="416"/>
      <c r="C57" s="174" t="s">
        <v>204</v>
      </c>
      <c r="D57" s="174" t="s">
        <v>205</v>
      </c>
      <c r="E57" s="173"/>
      <c r="F57" s="173"/>
      <c r="G57" s="173"/>
      <c r="H57" s="173"/>
      <c r="I57" s="173"/>
      <c r="J57" s="173"/>
      <c r="K57" s="173"/>
      <c r="L57" s="173"/>
      <c r="M57" s="173"/>
    </row>
    <row r="58" spans="1:13">
      <c r="A58" s="414" t="s">
        <v>209</v>
      </c>
      <c r="B58" s="414"/>
      <c r="C58" s="176">
        <v>6</v>
      </c>
      <c r="D58" s="176">
        <v>12</v>
      </c>
      <c r="E58" s="173"/>
      <c r="F58" s="173"/>
      <c r="G58" s="173"/>
      <c r="H58" s="173"/>
      <c r="I58" s="173"/>
      <c r="J58" s="173"/>
      <c r="K58" s="173"/>
      <c r="L58" s="173"/>
      <c r="M58" s="173"/>
    </row>
    <row r="59" spans="1:13">
      <c r="A59" s="414" t="s">
        <v>206</v>
      </c>
      <c r="B59" s="414"/>
      <c r="C59" s="176">
        <v>327.60000000000002</v>
      </c>
      <c r="D59" s="176">
        <v>273</v>
      </c>
      <c r="E59" s="173"/>
      <c r="F59" s="173"/>
      <c r="G59" s="173"/>
      <c r="H59" s="173"/>
      <c r="I59" s="173"/>
      <c r="J59" s="173"/>
      <c r="K59" s="173"/>
      <c r="L59" s="173"/>
      <c r="M59" s="173"/>
    </row>
    <row r="60" spans="1:13">
      <c r="A60" s="414" t="s">
        <v>207</v>
      </c>
      <c r="B60" s="414"/>
      <c r="C60" s="176">
        <v>1965.6</v>
      </c>
      <c r="D60" s="176">
        <v>3276</v>
      </c>
      <c r="E60" s="173"/>
      <c r="F60" s="173"/>
      <c r="G60" s="173"/>
      <c r="H60" s="173"/>
      <c r="I60" s="173"/>
      <c r="J60" s="173"/>
      <c r="K60" s="173"/>
      <c r="L60" s="173"/>
      <c r="M60" s="173"/>
    </row>
    <row r="61" spans="1:13">
      <c r="A61" s="414" t="s">
        <v>320</v>
      </c>
      <c r="B61" s="414"/>
      <c r="C61" s="415">
        <f>D60-C60</f>
        <v>1310.4000000000001</v>
      </c>
      <c r="D61" s="415"/>
      <c r="E61" s="173"/>
      <c r="F61" s="173"/>
      <c r="G61" s="173"/>
      <c r="H61" s="173"/>
      <c r="I61" s="173"/>
      <c r="J61" s="173"/>
      <c r="K61" s="173"/>
      <c r="L61" s="173"/>
      <c r="M61" s="173"/>
    </row>
    <row r="62" spans="1:13">
      <c r="A62" s="414" t="s">
        <v>208</v>
      </c>
      <c r="B62" s="414"/>
      <c r="C62" s="176">
        <v>2055.6999999999998</v>
      </c>
      <c r="D62" s="176">
        <v>1823</v>
      </c>
      <c r="E62" s="173"/>
      <c r="F62" s="173"/>
      <c r="G62" s="173"/>
      <c r="H62" s="173"/>
      <c r="I62" s="173"/>
      <c r="J62" s="173"/>
      <c r="K62" s="173"/>
      <c r="L62" s="173"/>
      <c r="M62" s="173"/>
    </row>
    <row r="63" spans="1:13">
      <c r="A63" s="406" t="s">
        <v>321</v>
      </c>
      <c r="B63" s="407"/>
      <c r="C63" s="415">
        <f>C62-D62</f>
        <v>232.69999999999982</v>
      </c>
      <c r="D63" s="415"/>
      <c r="E63" s="173"/>
      <c r="F63" s="173"/>
      <c r="G63" s="173"/>
      <c r="H63" s="173"/>
      <c r="I63" s="173"/>
      <c r="J63" s="173"/>
      <c r="K63" s="173"/>
      <c r="L63" s="173"/>
      <c r="M63" s="173"/>
    </row>
    <row r="64" spans="1:13">
      <c r="A64" s="178" t="s">
        <v>442</v>
      </c>
      <c r="B64" s="173"/>
      <c r="C64" s="173"/>
      <c r="D64" s="173"/>
      <c r="E64" s="173"/>
      <c r="F64" s="173"/>
      <c r="G64" s="173"/>
      <c r="H64" s="173"/>
      <c r="I64" s="173"/>
      <c r="J64" s="173"/>
      <c r="K64" s="173"/>
      <c r="L64" s="173"/>
      <c r="M64" s="173"/>
    </row>
    <row r="65" spans="1:13">
      <c r="A65" s="173"/>
      <c r="B65" s="173"/>
      <c r="C65" s="173"/>
      <c r="D65" s="173"/>
      <c r="E65" s="173"/>
      <c r="F65" s="173"/>
      <c r="G65" s="173"/>
      <c r="H65" s="173"/>
      <c r="I65" s="173"/>
      <c r="J65" s="173"/>
      <c r="K65" s="173"/>
      <c r="L65" s="173"/>
      <c r="M65" s="173"/>
    </row>
    <row r="66" spans="1:13" ht="38.25">
      <c r="A66" s="416" t="s">
        <v>323</v>
      </c>
      <c r="B66" s="416"/>
      <c r="C66" s="174" t="s">
        <v>204</v>
      </c>
      <c r="D66" s="174" t="s">
        <v>205</v>
      </c>
      <c r="E66" s="173"/>
      <c r="F66" s="173"/>
      <c r="G66" s="173"/>
      <c r="H66" s="173"/>
      <c r="I66" s="173"/>
      <c r="J66" s="173"/>
      <c r="K66" s="173"/>
      <c r="L66" s="173"/>
      <c r="M66" s="173"/>
    </row>
    <row r="67" spans="1:13">
      <c r="A67" s="414" t="s">
        <v>210</v>
      </c>
      <c r="B67" s="414"/>
      <c r="C67" s="177">
        <v>0.52500000000000002</v>
      </c>
      <c r="D67" s="177">
        <v>0.75</v>
      </c>
      <c r="E67" s="173"/>
      <c r="F67" s="173"/>
      <c r="G67" s="173"/>
      <c r="H67" s="173"/>
      <c r="I67" s="173"/>
      <c r="J67" s="173"/>
      <c r="K67" s="173"/>
      <c r="L67" s="173"/>
      <c r="M67" s="173"/>
    </row>
    <row r="68" spans="1:13">
      <c r="A68" s="414" t="s">
        <v>206</v>
      </c>
      <c r="B68" s="414"/>
      <c r="C68" s="176">
        <v>3660</v>
      </c>
      <c r="D68" s="176">
        <v>2930</v>
      </c>
      <c r="E68" s="173"/>
      <c r="F68" s="173"/>
      <c r="G68" s="173"/>
      <c r="H68" s="173"/>
      <c r="I68" s="173"/>
      <c r="J68" s="173"/>
      <c r="K68" s="173"/>
      <c r="L68" s="173"/>
      <c r="M68" s="173"/>
    </row>
    <row r="69" spans="1:13">
      <c r="A69" s="414" t="s">
        <v>207</v>
      </c>
      <c r="B69" s="414"/>
      <c r="C69" s="176">
        <v>1921.5</v>
      </c>
      <c r="D69" s="176">
        <v>2197.5</v>
      </c>
      <c r="E69" s="173"/>
      <c r="F69" s="173"/>
      <c r="G69" s="173"/>
      <c r="H69" s="173"/>
      <c r="I69" s="173"/>
      <c r="J69" s="173"/>
      <c r="K69" s="173"/>
      <c r="L69" s="173"/>
      <c r="M69" s="173"/>
    </row>
    <row r="70" spans="1:13">
      <c r="A70" s="414" t="s">
        <v>320</v>
      </c>
      <c r="B70" s="414"/>
      <c r="C70" s="415">
        <f>D69-C69</f>
        <v>276</v>
      </c>
      <c r="D70" s="415"/>
      <c r="E70" s="173"/>
      <c r="F70" s="173"/>
      <c r="G70" s="173"/>
      <c r="H70" s="173"/>
      <c r="I70" s="173"/>
      <c r="J70" s="173"/>
      <c r="K70" s="173"/>
      <c r="L70" s="173"/>
      <c r="M70" s="173"/>
    </row>
    <row r="71" spans="1:13">
      <c r="A71" s="175" t="s">
        <v>208</v>
      </c>
      <c r="B71" s="175"/>
      <c r="C71" s="176">
        <v>5687.6</v>
      </c>
      <c r="D71" s="176">
        <v>5170.55</v>
      </c>
      <c r="E71" s="173"/>
      <c r="F71" s="173"/>
      <c r="G71" s="173"/>
      <c r="H71" s="173"/>
      <c r="I71" s="173"/>
      <c r="J71" s="173"/>
      <c r="K71" s="173"/>
      <c r="L71" s="173"/>
      <c r="M71" s="173"/>
    </row>
    <row r="72" spans="1:13">
      <c r="A72" s="414" t="s">
        <v>321</v>
      </c>
      <c r="B72" s="414"/>
      <c r="C72" s="415">
        <f>C71-D71</f>
        <v>517.05000000000018</v>
      </c>
      <c r="D72" s="415"/>
      <c r="E72" s="173"/>
      <c r="F72" s="173"/>
      <c r="G72" s="173"/>
      <c r="H72" s="173"/>
      <c r="I72" s="173"/>
      <c r="J72" s="173"/>
      <c r="K72" s="173"/>
      <c r="L72" s="173"/>
      <c r="M72" s="173"/>
    </row>
    <row r="73" spans="1:13">
      <c r="A73" s="178" t="s">
        <v>442</v>
      </c>
      <c r="B73" s="173"/>
      <c r="C73" s="173"/>
      <c r="D73" s="173"/>
      <c r="E73" s="173"/>
      <c r="F73" s="173"/>
      <c r="G73" s="173"/>
      <c r="H73" s="173"/>
      <c r="I73" s="173"/>
      <c r="J73" s="173"/>
      <c r="K73" s="173"/>
      <c r="L73" s="173"/>
      <c r="M73" s="173"/>
    </row>
    <row r="74" spans="1:13">
      <c r="A74" s="173"/>
      <c r="B74" s="173"/>
      <c r="C74" s="173"/>
      <c r="D74" s="173"/>
      <c r="E74" s="173"/>
      <c r="F74" s="173"/>
      <c r="G74" s="173"/>
      <c r="H74" s="173"/>
      <c r="I74" s="173"/>
      <c r="J74" s="173"/>
      <c r="K74" s="173"/>
      <c r="L74" s="173"/>
      <c r="M74" s="173"/>
    </row>
    <row r="75" spans="1:13">
      <c r="A75" s="416" t="s">
        <v>324</v>
      </c>
      <c r="B75" s="416" t="s">
        <v>205</v>
      </c>
      <c r="C75" s="416"/>
      <c r="D75" s="416" t="s">
        <v>204</v>
      </c>
      <c r="E75" s="416"/>
      <c r="F75" s="416"/>
      <c r="G75" s="416"/>
      <c r="H75" s="173"/>
      <c r="I75" s="173"/>
      <c r="J75" s="173"/>
      <c r="K75" s="173"/>
      <c r="L75" s="173"/>
      <c r="M75" s="173"/>
    </row>
    <row r="76" spans="1:13" ht="38.25">
      <c r="A76" s="416"/>
      <c r="B76" s="171" t="s">
        <v>325</v>
      </c>
      <c r="C76" s="171" t="s">
        <v>211</v>
      </c>
      <c r="D76" s="171" t="s">
        <v>325</v>
      </c>
      <c r="E76" s="171" t="s">
        <v>212</v>
      </c>
      <c r="F76" s="171" t="s">
        <v>213</v>
      </c>
      <c r="G76" s="171" t="s">
        <v>211</v>
      </c>
      <c r="H76" s="173"/>
      <c r="I76" s="173"/>
      <c r="J76" s="173"/>
      <c r="K76" s="173"/>
      <c r="L76" s="173"/>
      <c r="M76" s="173"/>
    </row>
    <row r="77" spans="1:13">
      <c r="A77" s="414" t="s">
        <v>209</v>
      </c>
      <c r="B77" s="175">
        <v>2.2999999999999998</v>
      </c>
      <c r="C77" s="414" t="s">
        <v>108</v>
      </c>
      <c r="D77" s="175">
        <v>1.38</v>
      </c>
      <c r="E77" s="414">
        <v>2.6</v>
      </c>
      <c r="F77" s="414" t="s">
        <v>108</v>
      </c>
      <c r="G77" s="414" t="s">
        <v>108</v>
      </c>
      <c r="H77" s="173"/>
      <c r="I77" s="173"/>
      <c r="J77" s="173"/>
      <c r="K77" s="173"/>
      <c r="L77" s="173"/>
      <c r="M77" s="173"/>
    </row>
    <row r="78" spans="1:13">
      <c r="A78" s="414"/>
      <c r="B78" s="175">
        <v>2.5</v>
      </c>
      <c r="C78" s="414"/>
      <c r="D78" s="175">
        <v>1.5</v>
      </c>
      <c r="E78" s="414"/>
      <c r="F78" s="414"/>
      <c r="G78" s="414"/>
      <c r="H78" s="173"/>
      <c r="I78" s="173"/>
      <c r="J78" s="173"/>
      <c r="K78" s="173"/>
      <c r="L78" s="173"/>
      <c r="M78" s="173"/>
    </row>
    <row r="79" spans="1:13">
      <c r="A79" s="414" t="s">
        <v>206</v>
      </c>
      <c r="B79" s="175">
        <v>172</v>
      </c>
      <c r="C79" s="414" t="s">
        <v>108</v>
      </c>
      <c r="D79" s="175">
        <v>180.6</v>
      </c>
      <c r="E79" s="414">
        <v>182.6</v>
      </c>
      <c r="F79" s="414" t="s">
        <v>108</v>
      </c>
      <c r="G79" s="414" t="s">
        <v>108</v>
      </c>
      <c r="H79" s="173"/>
      <c r="I79" s="173"/>
      <c r="J79" s="173"/>
      <c r="K79" s="173"/>
      <c r="L79" s="173"/>
      <c r="M79" s="173"/>
    </row>
    <row r="80" spans="1:13">
      <c r="A80" s="414"/>
      <c r="B80" s="175">
        <v>82</v>
      </c>
      <c r="C80" s="414"/>
      <c r="D80" s="175">
        <v>90.2</v>
      </c>
      <c r="E80" s="414"/>
      <c r="F80" s="414"/>
      <c r="G80" s="414"/>
      <c r="H80" s="173"/>
      <c r="I80" s="173"/>
      <c r="J80" s="173"/>
      <c r="K80" s="173"/>
      <c r="L80" s="173"/>
      <c r="M80" s="173"/>
    </row>
    <row r="81" spans="1:13">
      <c r="A81" s="175" t="s">
        <v>214</v>
      </c>
      <c r="B81" s="417">
        <f>(B77*B79)+(B78*B80)</f>
        <v>600.59999999999991</v>
      </c>
      <c r="C81" s="419"/>
      <c r="D81" s="176">
        <f>(D77*D79)+(D78*D80)</f>
        <v>384.52800000000002</v>
      </c>
      <c r="E81" s="176">
        <f>E77*E79</f>
        <v>474.76</v>
      </c>
      <c r="F81" s="176">
        <v>0</v>
      </c>
      <c r="G81" s="176">
        <f>(SUM(D81:F81))/3</f>
        <v>286.42933333333332</v>
      </c>
      <c r="H81" s="173"/>
      <c r="I81" s="173"/>
      <c r="J81" s="173"/>
      <c r="K81" s="173"/>
      <c r="L81" s="173"/>
      <c r="M81" s="173"/>
    </row>
    <row r="82" spans="1:13" ht="25.5">
      <c r="A82" s="181" t="s">
        <v>320</v>
      </c>
      <c r="B82" s="417">
        <f>B81-G81</f>
        <v>314.17066666666659</v>
      </c>
      <c r="C82" s="418"/>
      <c r="D82" s="418"/>
      <c r="E82" s="418"/>
      <c r="F82" s="418"/>
      <c r="G82" s="419"/>
      <c r="H82" s="182"/>
      <c r="I82" s="173"/>
      <c r="J82" s="173"/>
      <c r="K82" s="173"/>
      <c r="L82" s="173"/>
      <c r="M82" s="173"/>
    </row>
    <row r="83" spans="1:13">
      <c r="A83" s="175" t="s">
        <v>215</v>
      </c>
      <c r="B83" s="417">
        <v>343</v>
      </c>
      <c r="C83" s="419"/>
      <c r="D83" s="176">
        <v>269.5</v>
      </c>
      <c r="E83" s="176">
        <v>520.5</v>
      </c>
      <c r="F83" s="176">
        <v>520.5</v>
      </c>
      <c r="G83" s="176">
        <f>SUM(D83:F83)/3</f>
        <v>436.83333333333331</v>
      </c>
      <c r="H83" s="173"/>
      <c r="I83" s="173"/>
      <c r="J83" s="173"/>
      <c r="K83" s="173"/>
      <c r="L83" s="173"/>
      <c r="M83" s="173"/>
    </row>
    <row r="84" spans="1:13" ht="25.5">
      <c r="A84" s="181" t="s">
        <v>321</v>
      </c>
      <c r="B84" s="420">
        <f>G83-B83</f>
        <v>93.833333333333314</v>
      </c>
      <c r="C84" s="421"/>
      <c r="D84" s="421"/>
      <c r="E84" s="421"/>
      <c r="F84" s="421"/>
      <c r="G84" s="422"/>
      <c r="H84" s="173"/>
      <c r="I84" s="173"/>
      <c r="J84" s="173"/>
      <c r="K84" s="173"/>
      <c r="L84" s="173"/>
      <c r="M84" s="173"/>
    </row>
    <row r="85" spans="1:13">
      <c r="A85" s="178" t="s">
        <v>442</v>
      </c>
      <c r="B85" s="173"/>
      <c r="C85" s="173"/>
      <c r="D85" s="173"/>
      <c r="E85" s="173"/>
      <c r="F85" s="173"/>
      <c r="G85" s="173"/>
      <c r="H85" s="173"/>
      <c r="I85" s="173"/>
      <c r="J85" s="173"/>
      <c r="K85" s="173"/>
      <c r="L85" s="173"/>
      <c r="M85" s="173"/>
    </row>
    <row r="86" spans="1:13">
      <c r="A86" s="173" t="s">
        <v>367</v>
      </c>
      <c r="B86" s="173"/>
      <c r="C86" s="173"/>
      <c r="D86" s="173"/>
      <c r="E86" s="173"/>
      <c r="F86" s="173"/>
      <c r="G86" s="173"/>
      <c r="H86" s="173"/>
      <c r="I86" s="173"/>
      <c r="J86" s="173"/>
      <c r="K86" s="173"/>
      <c r="L86" s="173"/>
      <c r="M86" s="173"/>
    </row>
    <row r="87" spans="1:13">
      <c r="A87" s="173"/>
      <c r="B87" s="173">
        <f>215+93.83-22.5</f>
        <v>286.33</v>
      </c>
      <c r="C87" s="173"/>
      <c r="D87" s="173"/>
      <c r="E87" s="173"/>
      <c r="F87" s="173"/>
      <c r="G87" s="173"/>
      <c r="H87" s="173"/>
      <c r="I87" s="173"/>
      <c r="J87" s="173"/>
      <c r="K87" s="173"/>
      <c r="L87" s="173"/>
      <c r="M87" s="173"/>
    </row>
    <row r="88" spans="1:13" ht="38.25">
      <c r="A88" s="416" t="s">
        <v>326</v>
      </c>
      <c r="B88" s="416"/>
      <c r="C88" s="174" t="s">
        <v>204</v>
      </c>
      <c r="D88" s="174" t="s">
        <v>205</v>
      </c>
      <c r="E88" s="173"/>
      <c r="F88" s="173"/>
      <c r="G88" s="173"/>
      <c r="H88" s="173"/>
      <c r="I88" s="173"/>
      <c r="J88" s="173"/>
      <c r="K88" s="173"/>
      <c r="L88" s="173"/>
      <c r="M88" s="173"/>
    </row>
    <row r="89" spans="1:13">
      <c r="A89" s="406" t="s">
        <v>239</v>
      </c>
      <c r="B89" s="407"/>
      <c r="C89" s="176">
        <v>26.25</v>
      </c>
      <c r="D89" s="176">
        <v>35</v>
      </c>
      <c r="E89" s="173"/>
      <c r="F89" s="173"/>
      <c r="G89" s="173"/>
      <c r="H89" s="173"/>
      <c r="I89" s="173"/>
      <c r="J89" s="173"/>
      <c r="K89" s="173"/>
      <c r="L89" s="173"/>
      <c r="M89" s="173"/>
    </row>
    <row r="90" spans="1:13">
      <c r="A90" s="406" t="s">
        <v>317</v>
      </c>
      <c r="B90" s="407"/>
      <c r="C90" s="176">
        <v>403.65</v>
      </c>
      <c r="D90" s="176">
        <v>351</v>
      </c>
      <c r="E90" s="173"/>
      <c r="F90" s="173"/>
      <c r="G90" s="173"/>
      <c r="H90" s="173"/>
      <c r="I90" s="173"/>
      <c r="J90" s="173"/>
      <c r="K90" s="173"/>
      <c r="L90" s="173"/>
      <c r="M90" s="173"/>
    </row>
    <row r="91" spans="1:13">
      <c r="A91" s="406" t="s">
        <v>316</v>
      </c>
      <c r="B91" s="407"/>
      <c r="C91" s="176">
        <f>C89*C90</f>
        <v>10595.8125</v>
      </c>
      <c r="D91" s="176">
        <f>D89*D90</f>
        <v>12285</v>
      </c>
      <c r="E91" s="173"/>
      <c r="F91" s="173"/>
      <c r="G91" s="173"/>
      <c r="H91" s="173"/>
      <c r="I91" s="173"/>
      <c r="J91" s="173"/>
      <c r="K91" s="173"/>
      <c r="L91" s="173"/>
      <c r="M91" s="173"/>
    </row>
    <row r="92" spans="1:13">
      <c r="A92" s="414" t="s">
        <v>320</v>
      </c>
      <c r="B92" s="414"/>
      <c r="C92" s="415">
        <f>D91-C91</f>
        <v>1689.1875</v>
      </c>
      <c r="D92" s="415"/>
      <c r="E92" s="173"/>
      <c r="F92" s="173"/>
      <c r="G92" s="173"/>
      <c r="H92" s="173"/>
      <c r="I92" s="173"/>
      <c r="J92" s="173"/>
      <c r="K92" s="173"/>
      <c r="L92" s="173"/>
      <c r="M92" s="173"/>
    </row>
    <row r="93" spans="1:13">
      <c r="A93" s="414" t="s">
        <v>208</v>
      </c>
      <c r="B93" s="414"/>
      <c r="C93" s="176">
        <v>5837.7</v>
      </c>
      <c r="D93" s="176">
        <v>5234</v>
      </c>
      <c r="E93" s="173"/>
      <c r="F93" s="173"/>
      <c r="G93" s="173"/>
      <c r="H93" s="173"/>
      <c r="I93" s="173"/>
      <c r="J93" s="173"/>
      <c r="K93" s="173"/>
      <c r="L93" s="173"/>
      <c r="M93" s="173"/>
    </row>
    <row r="94" spans="1:13">
      <c r="A94" s="406" t="s">
        <v>321</v>
      </c>
      <c r="B94" s="407"/>
      <c r="C94" s="415">
        <f>C93-D93</f>
        <v>603.69999999999982</v>
      </c>
      <c r="D94" s="415"/>
      <c r="E94" s="173"/>
      <c r="F94" s="173"/>
      <c r="G94" s="173"/>
      <c r="H94" s="173"/>
      <c r="I94" s="173"/>
      <c r="J94" s="173"/>
      <c r="K94" s="173"/>
      <c r="L94" s="173"/>
      <c r="M94" s="173"/>
    </row>
    <row r="95" spans="1:13">
      <c r="A95" s="178" t="s">
        <v>442</v>
      </c>
      <c r="B95" s="173"/>
      <c r="C95" s="173"/>
      <c r="D95" s="173"/>
      <c r="E95" s="173"/>
      <c r="F95" s="173"/>
      <c r="G95" s="173"/>
      <c r="H95" s="173"/>
      <c r="I95" s="173"/>
      <c r="J95" s="173"/>
      <c r="K95" s="173"/>
      <c r="L95" s="173"/>
      <c r="M95" s="173"/>
    </row>
    <row r="96" spans="1:13">
      <c r="A96" s="173"/>
      <c r="B96" s="173"/>
      <c r="C96" s="173"/>
      <c r="D96" s="173"/>
      <c r="E96" s="173"/>
      <c r="F96" s="173"/>
      <c r="G96" s="173"/>
      <c r="H96" s="173"/>
      <c r="I96" s="173"/>
      <c r="J96" s="173"/>
      <c r="K96" s="173"/>
      <c r="L96" s="173"/>
      <c r="M96" s="173"/>
    </row>
    <row r="97" spans="1:13">
      <c r="A97" s="416" t="s">
        <v>327</v>
      </c>
      <c r="B97" s="416" t="s">
        <v>204</v>
      </c>
      <c r="C97" s="416"/>
      <c r="D97" s="416"/>
      <c r="E97" s="416"/>
      <c r="F97" s="416" t="s">
        <v>205</v>
      </c>
      <c r="G97" s="416"/>
      <c r="H97" s="416"/>
      <c r="I97" s="416"/>
      <c r="J97" s="173"/>
      <c r="K97" s="173"/>
      <c r="L97" s="173"/>
      <c r="M97" s="173"/>
    </row>
    <row r="98" spans="1:13">
      <c r="A98" s="416"/>
      <c r="B98" s="171" t="s">
        <v>216</v>
      </c>
      <c r="C98" s="171" t="s">
        <v>217</v>
      </c>
      <c r="D98" s="171" t="s">
        <v>218</v>
      </c>
      <c r="E98" s="171" t="s">
        <v>219</v>
      </c>
      <c r="F98" s="171" t="s">
        <v>216</v>
      </c>
      <c r="G98" s="171" t="s">
        <v>217</v>
      </c>
      <c r="H98" s="171" t="s">
        <v>218</v>
      </c>
      <c r="I98" s="171" t="s">
        <v>219</v>
      </c>
      <c r="J98" s="173"/>
      <c r="K98" s="173"/>
      <c r="L98" s="173"/>
      <c r="M98" s="173"/>
    </row>
    <row r="99" spans="1:13">
      <c r="A99" s="175" t="s">
        <v>209</v>
      </c>
      <c r="B99" s="176">
        <v>29.25</v>
      </c>
      <c r="C99" s="176">
        <v>19.5</v>
      </c>
      <c r="D99" s="176">
        <v>39</v>
      </c>
      <c r="E99" s="175" t="s">
        <v>108</v>
      </c>
      <c r="F99" s="176">
        <v>45</v>
      </c>
      <c r="G99" s="176">
        <v>30</v>
      </c>
      <c r="H99" s="176">
        <v>60</v>
      </c>
      <c r="I99" s="175" t="s">
        <v>108</v>
      </c>
      <c r="J99" s="173"/>
      <c r="K99" s="173"/>
      <c r="L99" s="173"/>
      <c r="M99" s="173"/>
    </row>
    <row r="100" spans="1:13">
      <c r="A100" s="175" t="s">
        <v>317</v>
      </c>
      <c r="B100" s="176">
        <v>492</v>
      </c>
      <c r="C100" s="176">
        <v>866.4</v>
      </c>
      <c r="D100" s="176">
        <v>280.8</v>
      </c>
      <c r="E100" s="175" t="s">
        <v>108</v>
      </c>
      <c r="F100" s="176">
        <v>410</v>
      </c>
      <c r="G100" s="176">
        <v>722</v>
      </c>
      <c r="H100" s="176">
        <v>234</v>
      </c>
      <c r="I100" s="175" t="s">
        <v>108</v>
      </c>
      <c r="J100" s="173"/>
      <c r="K100" s="173"/>
      <c r="L100" s="173"/>
      <c r="M100" s="173"/>
    </row>
    <row r="101" spans="1:13">
      <c r="A101" s="175" t="s">
        <v>316</v>
      </c>
      <c r="B101" s="176">
        <f>B99*B100</f>
        <v>14391</v>
      </c>
      <c r="C101" s="176">
        <f>C99*C100</f>
        <v>16894.8</v>
      </c>
      <c r="D101" s="176">
        <f>D99*D100</f>
        <v>10951.2</v>
      </c>
      <c r="E101" s="176">
        <f>AVERAGE(B101:D101)</f>
        <v>14079</v>
      </c>
      <c r="F101" s="176">
        <f>F99*F100</f>
        <v>18450</v>
      </c>
      <c r="G101" s="176">
        <f>G99*G100</f>
        <v>21660</v>
      </c>
      <c r="H101" s="176">
        <f>H99*H100</f>
        <v>14040</v>
      </c>
      <c r="I101" s="176">
        <f>AVERAGE(F101:H101)</f>
        <v>18050</v>
      </c>
      <c r="J101" s="173"/>
      <c r="K101" s="173"/>
      <c r="L101" s="173"/>
      <c r="M101" s="173"/>
    </row>
    <row r="102" spans="1:13" ht="25.5">
      <c r="A102" s="171" t="s">
        <v>320</v>
      </c>
      <c r="B102" s="415">
        <f>I101-E101</f>
        <v>3971</v>
      </c>
      <c r="C102" s="414"/>
      <c r="D102" s="414"/>
      <c r="E102" s="414"/>
      <c r="F102" s="414"/>
      <c r="G102" s="414"/>
      <c r="H102" s="414"/>
      <c r="I102" s="414"/>
      <c r="J102" s="173"/>
      <c r="K102" s="173"/>
      <c r="L102" s="173"/>
      <c r="M102" s="173"/>
    </row>
    <row r="103" spans="1:13">
      <c r="A103" s="175" t="s">
        <v>315</v>
      </c>
      <c r="B103" s="176">
        <v>11473.8</v>
      </c>
      <c r="C103" s="176">
        <v>8151.8</v>
      </c>
      <c r="D103" s="176">
        <v>10413.799999999999</v>
      </c>
      <c r="E103" s="176">
        <f>AVERAGE(B103:D103)</f>
        <v>10013.133333333333</v>
      </c>
      <c r="F103" s="176">
        <v>9975</v>
      </c>
      <c r="G103" s="176">
        <v>6998</v>
      </c>
      <c r="H103" s="176">
        <v>10167</v>
      </c>
      <c r="I103" s="176">
        <f>AVERAGE(F103:H103)</f>
        <v>9046.6666666666661</v>
      </c>
      <c r="J103" s="173"/>
      <c r="K103" s="173"/>
      <c r="L103" s="173"/>
      <c r="M103" s="173"/>
    </row>
    <row r="104" spans="1:13" ht="25.5">
      <c r="A104" s="181" t="s">
        <v>321</v>
      </c>
      <c r="B104" s="415">
        <f>E103-I103</f>
        <v>966.46666666666715</v>
      </c>
      <c r="C104" s="414"/>
      <c r="D104" s="414"/>
      <c r="E104" s="414"/>
      <c r="F104" s="414"/>
      <c r="G104" s="414"/>
      <c r="H104" s="414"/>
      <c r="I104" s="414"/>
      <c r="J104" s="173"/>
      <c r="K104" s="173"/>
      <c r="L104" s="173"/>
      <c r="M104" s="173"/>
    </row>
    <row r="105" spans="1:13">
      <c r="A105" s="178" t="s">
        <v>442</v>
      </c>
      <c r="B105" s="173"/>
      <c r="C105" s="173"/>
      <c r="D105" s="173"/>
      <c r="E105" s="173"/>
      <c r="F105" s="173"/>
      <c r="G105" s="173"/>
      <c r="H105" s="173"/>
      <c r="I105" s="173"/>
      <c r="J105" s="173"/>
      <c r="K105" s="173"/>
      <c r="L105" s="173"/>
      <c r="M105" s="173"/>
    </row>
    <row r="106" spans="1:13">
      <c r="A106" s="173"/>
      <c r="B106" s="173"/>
      <c r="C106" s="173"/>
      <c r="D106" s="173"/>
      <c r="E106" s="173"/>
      <c r="F106" s="173"/>
      <c r="G106" s="173"/>
      <c r="H106" s="173"/>
      <c r="I106" s="173"/>
      <c r="J106" s="173"/>
      <c r="K106" s="173"/>
      <c r="L106" s="173"/>
      <c r="M106" s="173"/>
    </row>
    <row r="107" spans="1:13" ht="38.25">
      <c r="A107" s="416" t="s">
        <v>328</v>
      </c>
      <c r="B107" s="416"/>
      <c r="C107" s="174" t="s">
        <v>204</v>
      </c>
      <c r="D107" s="174" t="s">
        <v>205</v>
      </c>
      <c r="E107" s="173"/>
      <c r="F107" s="173"/>
      <c r="G107" s="173"/>
      <c r="H107" s="173"/>
      <c r="I107" s="173"/>
      <c r="J107" s="173"/>
      <c r="K107" s="173"/>
      <c r="L107" s="173"/>
      <c r="M107" s="173"/>
    </row>
    <row r="108" spans="1:13">
      <c r="A108" s="414" t="s">
        <v>209</v>
      </c>
      <c r="B108" s="414"/>
      <c r="C108" s="175">
        <v>8.5</v>
      </c>
      <c r="D108" s="175">
        <v>10</v>
      </c>
      <c r="E108" s="173"/>
      <c r="F108" s="173"/>
      <c r="G108" s="173"/>
      <c r="H108" s="173"/>
      <c r="I108" s="173"/>
      <c r="J108" s="173"/>
      <c r="K108" s="173"/>
      <c r="L108" s="173"/>
      <c r="M108" s="173"/>
    </row>
    <row r="109" spans="1:13">
      <c r="A109" s="414" t="s">
        <v>317</v>
      </c>
      <c r="B109" s="414"/>
      <c r="C109" s="176">
        <v>236.5</v>
      </c>
      <c r="D109" s="176">
        <v>215</v>
      </c>
      <c r="E109" s="173"/>
      <c r="F109" s="173"/>
      <c r="G109" s="173"/>
      <c r="H109" s="173"/>
      <c r="I109" s="173"/>
      <c r="J109" s="173"/>
      <c r="K109" s="173"/>
      <c r="L109" s="173"/>
      <c r="M109" s="173"/>
    </row>
    <row r="110" spans="1:13">
      <c r="A110" s="414" t="s">
        <v>316</v>
      </c>
      <c r="B110" s="414"/>
      <c r="C110" s="176">
        <f>C108*C109</f>
        <v>2010.25</v>
      </c>
      <c r="D110" s="176">
        <f>D108*D109</f>
        <v>2150</v>
      </c>
      <c r="E110" s="173"/>
      <c r="F110" s="173"/>
      <c r="G110" s="173"/>
      <c r="H110" s="173"/>
      <c r="I110" s="173"/>
      <c r="J110" s="173"/>
      <c r="K110" s="173"/>
      <c r="L110" s="173"/>
      <c r="M110" s="173"/>
    </row>
    <row r="111" spans="1:13">
      <c r="A111" s="414" t="s">
        <v>320</v>
      </c>
      <c r="B111" s="414"/>
      <c r="C111" s="415">
        <f>D110-C110</f>
        <v>139.75</v>
      </c>
      <c r="D111" s="415"/>
      <c r="E111" s="173"/>
      <c r="F111" s="173"/>
      <c r="G111" s="173"/>
      <c r="H111" s="173"/>
      <c r="I111" s="173"/>
      <c r="J111" s="173"/>
      <c r="K111" s="173"/>
      <c r="L111" s="173"/>
      <c r="M111" s="173"/>
    </row>
    <row r="112" spans="1:13">
      <c r="A112" s="414" t="s">
        <v>208</v>
      </c>
      <c r="B112" s="414"/>
      <c r="C112" s="175">
        <v>2005</v>
      </c>
      <c r="D112" s="175">
        <v>1395</v>
      </c>
      <c r="E112" s="173"/>
      <c r="F112" s="173"/>
      <c r="G112" s="173"/>
      <c r="H112" s="173"/>
      <c r="I112" s="173"/>
      <c r="J112" s="173"/>
      <c r="K112" s="173"/>
      <c r="L112" s="173"/>
      <c r="M112" s="173"/>
    </row>
    <row r="113" spans="1:13">
      <c r="A113" s="414" t="s">
        <v>321</v>
      </c>
      <c r="B113" s="414"/>
      <c r="C113" s="415">
        <f>C112-D112</f>
        <v>610</v>
      </c>
      <c r="D113" s="415"/>
      <c r="E113" s="173"/>
      <c r="F113" s="173"/>
      <c r="G113" s="173"/>
      <c r="H113" s="173"/>
      <c r="I113" s="173"/>
      <c r="J113" s="173"/>
      <c r="K113" s="173"/>
      <c r="L113" s="173"/>
      <c r="M113" s="173"/>
    </row>
    <row r="114" spans="1:13">
      <c r="A114" s="178" t="s">
        <v>442</v>
      </c>
      <c r="B114" s="173"/>
      <c r="C114" s="173"/>
      <c r="D114" s="173"/>
      <c r="E114" s="173"/>
      <c r="F114" s="173"/>
      <c r="G114" s="173"/>
      <c r="H114" s="173"/>
      <c r="I114" s="173"/>
      <c r="J114" s="173"/>
      <c r="K114" s="173"/>
      <c r="L114" s="173"/>
      <c r="M114" s="173"/>
    </row>
    <row r="115" spans="1:13">
      <c r="A115" s="178"/>
      <c r="B115" s="173"/>
      <c r="C115" s="173"/>
      <c r="D115" s="173"/>
      <c r="E115" s="173"/>
      <c r="F115" s="173"/>
      <c r="G115" s="173"/>
      <c r="H115" s="173"/>
      <c r="I115" s="173"/>
      <c r="J115" s="173"/>
      <c r="K115" s="173"/>
      <c r="L115" s="173"/>
      <c r="M115" s="173"/>
    </row>
    <row r="116" spans="1:13">
      <c r="A116" s="178"/>
      <c r="B116" s="173"/>
      <c r="C116" s="173"/>
      <c r="D116" s="173"/>
      <c r="E116" s="173"/>
      <c r="F116" s="173"/>
      <c r="G116" s="173"/>
      <c r="H116" s="173"/>
      <c r="I116" s="173"/>
      <c r="J116" s="173"/>
      <c r="K116" s="173"/>
      <c r="L116" s="173"/>
      <c r="M116" s="173"/>
    </row>
    <row r="117" spans="1:13">
      <c r="A117" s="178"/>
      <c r="B117" s="173"/>
      <c r="C117" s="173"/>
      <c r="D117" s="173"/>
      <c r="E117" s="173"/>
      <c r="F117" s="173"/>
      <c r="G117" s="173"/>
      <c r="H117" s="173"/>
      <c r="I117" s="173"/>
      <c r="J117" s="173"/>
      <c r="K117" s="173"/>
      <c r="L117" s="173"/>
      <c r="M117" s="173"/>
    </row>
    <row r="118" spans="1:13">
      <c r="A118" s="178"/>
      <c r="B118" s="173"/>
      <c r="C118" s="173"/>
      <c r="D118" s="173"/>
      <c r="E118" s="173"/>
      <c r="F118" s="173"/>
      <c r="G118" s="173"/>
      <c r="H118" s="173"/>
      <c r="I118" s="173"/>
      <c r="J118" s="173"/>
      <c r="K118" s="173"/>
      <c r="L118" s="173"/>
      <c r="M118" s="173"/>
    </row>
    <row r="119" spans="1:13">
      <c r="A119" s="173"/>
      <c r="B119" s="173"/>
      <c r="C119" s="173"/>
      <c r="D119" s="173"/>
      <c r="E119" s="173"/>
      <c r="F119" s="173"/>
      <c r="G119" s="173"/>
      <c r="H119" s="173"/>
      <c r="I119" s="173"/>
      <c r="J119" s="173"/>
      <c r="K119" s="173"/>
      <c r="L119" s="173"/>
      <c r="M119" s="173"/>
    </row>
    <row r="120" spans="1:13">
      <c r="A120" s="403" t="s">
        <v>329</v>
      </c>
      <c r="B120" s="403"/>
      <c r="C120" s="403"/>
      <c r="D120" s="403"/>
      <c r="E120" s="403"/>
      <c r="F120" s="173"/>
      <c r="G120" s="173"/>
      <c r="H120" s="173"/>
      <c r="I120" s="173"/>
      <c r="J120" s="173"/>
      <c r="K120" s="173"/>
      <c r="L120" s="173"/>
      <c r="M120" s="173"/>
    </row>
    <row r="121" spans="1:13" ht="63.75">
      <c r="A121" s="170" t="s">
        <v>220</v>
      </c>
      <c r="B121" s="174" t="s">
        <v>443</v>
      </c>
      <c r="C121" s="174" t="s">
        <v>352</v>
      </c>
      <c r="D121" s="174" t="s">
        <v>353</v>
      </c>
      <c r="E121" s="174" t="s">
        <v>354</v>
      </c>
      <c r="F121" s="183"/>
      <c r="G121" s="183"/>
      <c r="H121" s="173"/>
      <c r="I121" s="173"/>
      <c r="J121" s="173"/>
      <c r="K121" s="173"/>
      <c r="L121" s="173"/>
      <c r="M121" s="173"/>
    </row>
    <row r="122" spans="1:13">
      <c r="A122" s="175" t="s">
        <v>221</v>
      </c>
      <c r="B122" s="175">
        <v>5.8</v>
      </c>
      <c r="C122" s="175">
        <v>70</v>
      </c>
      <c r="D122" s="175">
        <f>SUM(B122:C122)</f>
        <v>75.8</v>
      </c>
      <c r="E122" s="175">
        <f>33*D122</f>
        <v>2501.4</v>
      </c>
      <c r="F122" s="173"/>
      <c r="G122" s="173"/>
      <c r="H122" s="173"/>
      <c r="I122" s="173"/>
      <c r="J122" s="173"/>
      <c r="K122" s="173"/>
      <c r="L122" s="173"/>
      <c r="M122" s="173"/>
    </row>
    <row r="123" spans="1:13">
      <c r="A123" s="175" t="s">
        <v>222</v>
      </c>
      <c r="B123" s="175">
        <v>4.8</v>
      </c>
      <c r="C123" s="175">
        <v>74.599999999999994</v>
      </c>
      <c r="D123" s="175">
        <f>SUM(B123:C123)</f>
        <v>79.399999999999991</v>
      </c>
      <c r="E123" s="175">
        <f>33*D123</f>
        <v>2620.1999999999998</v>
      </c>
      <c r="F123" s="173"/>
      <c r="G123" s="173"/>
      <c r="H123" s="173"/>
      <c r="I123" s="173"/>
      <c r="J123" s="173"/>
      <c r="K123" s="173"/>
      <c r="L123" s="173"/>
      <c r="M123" s="173"/>
    </row>
    <row r="124" spans="1:13">
      <c r="A124" s="173"/>
      <c r="B124" s="173"/>
      <c r="C124" s="173"/>
      <c r="D124" s="173"/>
      <c r="E124" s="173"/>
      <c r="F124" s="173"/>
      <c r="G124" s="173"/>
      <c r="H124" s="173"/>
      <c r="I124" s="173"/>
      <c r="J124" s="173"/>
      <c r="K124" s="173"/>
      <c r="L124" s="173"/>
      <c r="M124" s="173"/>
    </row>
    <row r="125" spans="1:13" ht="67.5" customHeight="1">
      <c r="A125" s="405" t="s">
        <v>223</v>
      </c>
      <c r="B125" s="405"/>
      <c r="C125" s="405"/>
      <c r="D125" s="405"/>
      <c r="E125" s="405"/>
      <c r="F125" s="405"/>
      <c r="G125" s="405"/>
      <c r="H125" s="173"/>
      <c r="I125" s="173"/>
      <c r="J125" s="173"/>
      <c r="K125" s="173"/>
      <c r="L125" s="173"/>
      <c r="M125" s="173"/>
    </row>
    <row r="126" spans="1:13" ht="78.75" customHeight="1">
      <c r="A126" s="405" t="s">
        <v>444</v>
      </c>
      <c r="B126" s="405"/>
      <c r="C126" s="405"/>
      <c r="D126" s="405"/>
      <c r="E126" s="405"/>
      <c r="F126" s="405"/>
      <c r="G126" s="405"/>
      <c r="H126" s="173"/>
      <c r="I126" s="173"/>
      <c r="J126" s="173"/>
      <c r="K126" s="173"/>
      <c r="L126" s="173"/>
      <c r="M126" s="173"/>
    </row>
    <row r="127" spans="1:13" ht="16.5" customHeight="1">
      <c r="A127" s="405" t="s">
        <v>224</v>
      </c>
      <c r="B127" s="405"/>
      <c r="C127" s="405"/>
      <c r="D127" s="405"/>
      <c r="E127" s="405"/>
      <c r="F127" s="405"/>
      <c r="G127" s="405"/>
      <c r="H127" s="173"/>
      <c r="I127" s="173"/>
      <c r="J127" s="173"/>
      <c r="K127" s="173"/>
      <c r="L127" s="173"/>
      <c r="M127" s="173"/>
    </row>
    <row r="128" spans="1:13">
      <c r="A128" s="172" t="s">
        <v>330</v>
      </c>
      <c r="B128" s="172"/>
      <c r="C128" s="172"/>
      <c r="D128" s="172"/>
      <c r="E128" s="172"/>
      <c r="F128" s="172"/>
      <c r="G128" s="172"/>
      <c r="H128" s="172"/>
      <c r="I128" s="172"/>
      <c r="J128" s="173"/>
      <c r="K128" s="173"/>
      <c r="L128" s="173"/>
      <c r="M128" s="173"/>
    </row>
    <row r="129" spans="1:13">
      <c r="A129" s="184" t="s">
        <v>225</v>
      </c>
      <c r="B129" s="184"/>
      <c r="C129" s="184"/>
      <c r="D129" s="184"/>
      <c r="E129" s="184"/>
      <c r="F129" s="173"/>
      <c r="G129" s="173"/>
      <c r="H129" s="173"/>
      <c r="I129" s="173"/>
      <c r="J129" s="173"/>
      <c r="K129" s="173"/>
      <c r="L129" s="173"/>
      <c r="M129" s="173"/>
    </row>
    <row r="130" spans="1:13">
      <c r="A130" s="416" t="s">
        <v>226</v>
      </c>
      <c r="B130" s="423" t="s">
        <v>337</v>
      </c>
      <c r="C130" s="423"/>
      <c r="D130" s="423"/>
      <c r="E130" s="423"/>
      <c r="F130" s="423" t="s">
        <v>339</v>
      </c>
      <c r="G130" s="423"/>
      <c r="H130" s="423"/>
      <c r="I130" s="423"/>
      <c r="J130" s="183"/>
      <c r="K130" s="173"/>
      <c r="L130" s="173"/>
      <c r="M130" s="173"/>
    </row>
    <row r="131" spans="1:13">
      <c r="A131" s="416"/>
      <c r="B131" s="174" t="s">
        <v>331</v>
      </c>
      <c r="C131" s="174" t="s">
        <v>332</v>
      </c>
      <c r="D131" s="174" t="s">
        <v>336</v>
      </c>
      <c r="E131" s="174" t="s">
        <v>333</v>
      </c>
      <c r="F131" s="174" t="s">
        <v>331</v>
      </c>
      <c r="G131" s="174" t="s">
        <v>332</v>
      </c>
      <c r="H131" s="174" t="s">
        <v>336</v>
      </c>
      <c r="I131" s="174" t="s">
        <v>333</v>
      </c>
      <c r="J131" s="183"/>
      <c r="K131" s="173"/>
      <c r="L131" s="173"/>
      <c r="M131" s="173"/>
    </row>
    <row r="132" spans="1:13">
      <c r="A132" s="175" t="s">
        <v>334</v>
      </c>
      <c r="B132" s="175">
        <v>122</v>
      </c>
      <c r="C132" s="175">
        <v>200</v>
      </c>
      <c r="D132" s="175">
        <v>0.88</v>
      </c>
      <c r="E132" s="175">
        <f>(C132*D132)*B132</f>
        <v>21472</v>
      </c>
      <c r="F132" s="175">
        <v>122</v>
      </c>
      <c r="G132" s="175">
        <v>170</v>
      </c>
      <c r="H132" s="175">
        <v>1.21</v>
      </c>
      <c r="I132" s="175">
        <f>(G132*H132)*F132</f>
        <v>25095.399999999998</v>
      </c>
      <c r="J132" s="173"/>
      <c r="K132" s="173"/>
      <c r="L132" s="173"/>
      <c r="M132" s="173"/>
    </row>
    <row r="133" spans="1:13">
      <c r="A133" s="175" t="s">
        <v>335</v>
      </c>
      <c r="B133" s="175">
        <v>175</v>
      </c>
      <c r="C133" s="175">
        <v>33</v>
      </c>
      <c r="D133" s="175">
        <v>3.41</v>
      </c>
      <c r="E133" s="176">
        <f>(C133*D133)*B133</f>
        <v>19692.75</v>
      </c>
      <c r="F133" s="175">
        <v>175</v>
      </c>
      <c r="G133" s="175">
        <v>26</v>
      </c>
      <c r="H133" s="175">
        <v>3.41</v>
      </c>
      <c r="I133" s="176">
        <f>(G133*H133)*F133</f>
        <v>15515.5</v>
      </c>
      <c r="J133" s="173"/>
      <c r="K133" s="173"/>
      <c r="L133" s="173"/>
      <c r="M133" s="173"/>
    </row>
    <row r="134" spans="1:13">
      <c r="A134" s="175" t="s">
        <v>338</v>
      </c>
      <c r="B134" s="175">
        <v>26</v>
      </c>
      <c r="C134" s="175">
        <v>34</v>
      </c>
      <c r="D134" s="177">
        <v>3.9</v>
      </c>
      <c r="E134" s="176">
        <f>(C134*D134)*B134</f>
        <v>3447.6</v>
      </c>
      <c r="F134" s="175">
        <v>26</v>
      </c>
      <c r="G134" s="175">
        <v>30</v>
      </c>
      <c r="H134" s="177">
        <v>3.9</v>
      </c>
      <c r="I134" s="176">
        <f>(G134*H134)*F134</f>
        <v>3042</v>
      </c>
      <c r="J134" s="173"/>
      <c r="K134" s="173"/>
      <c r="L134" s="173"/>
      <c r="M134" s="173"/>
    </row>
    <row r="135" spans="1:13">
      <c r="A135" s="175" t="s">
        <v>227</v>
      </c>
      <c r="B135" s="175"/>
      <c r="C135" s="175">
        <v>150</v>
      </c>
      <c r="D135" s="177">
        <v>3.5</v>
      </c>
      <c r="E135" s="176">
        <f>(C135*D135)</f>
        <v>525</v>
      </c>
      <c r="F135" s="175"/>
      <c r="G135" s="175">
        <v>150</v>
      </c>
      <c r="H135" s="177">
        <v>3.5</v>
      </c>
      <c r="I135" s="176">
        <f>(G135*H135)</f>
        <v>525</v>
      </c>
      <c r="J135" s="173"/>
      <c r="K135" s="173"/>
      <c r="L135" s="173"/>
      <c r="M135" s="173"/>
    </row>
    <row r="136" spans="1:13">
      <c r="A136" s="170" t="s">
        <v>228</v>
      </c>
      <c r="B136" s="424">
        <f>SUM(E132:E135)</f>
        <v>45137.35</v>
      </c>
      <c r="C136" s="424"/>
      <c r="D136" s="424"/>
      <c r="E136" s="424"/>
      <c r="F136" s="424">
        <f>SUM(I132:I135)</f>
        <v>44177.899999999994</v>
      </c>
      <c r="G136" s="424"/>
      <c r="H136" s="424"/>
      <c r="I136" s="424"/>
      <c r="J136" s="173"/>
      <c r="K136" s="173"/>
      <c r="L136" s="173"/>
      <c r="M136" s="173"/>
    </row>
    <row r="137" spans="1:13">
      <c r="A137" s="175" t="s">
        <v>340</v>
      </c>
      <c r="B137" s="424">
        <f>B136-F136</f>
        <v>959.45000000000437</v>
      </c>
      <c r="C137" s="416"/>
      <c r="D137" s="416"/>
      <c r="E137" s="416"/>
      <c r="F137" s="416"/>
      <c r="G137" s="416"/>
      <c r="H137" s="416"/>
      <c r="I137" s="416"/>
      <c r="J137" s="186"/>
      <c r="K137" s="173"/>
      <c r="L137" s="173"/>
      <c r="M137" s="173"/>
    </row>
    <row r="138" spans="1:13">
      <c r="A138" s="175" t="s">
        <v>341</v>
      </c>
      <c r="B138" s="426">
        <f>B137/150</f>
        <v>6.3963333333333621</v>
      </c>
      <c r="C138" s="426"/>
      <c r="D138" s="426"/>
      <c r="E138" s="426"/>
      <c r="F138" s="426"/>
      <c r="G138" s="426"/>
      <c r="H138" s="426"/>
      <c r="I138" s="426"/>
      <c r="J138" s="173"/>
      <c r="K138" s="173"/>
      <c r="L138" s="173"/>
      <c r="M138" s="173"/>
    </row>
    <row r="139" spans="1:13">
      <c r="A139" s="175" t="s">
        <v>342</v>
      </c>
      <c r="B139" s="424">
        <v>20976</v>
      </c>
      <c r="C139" s="424"/>
      <c r="D139" s="424"/>
      <c r="E139" s="424"/>
      <c r="F139" s="424">
        <v>31464</v>
      </c>
      <c r="G139" s="424"/>
      <c r="H139" s="424"/>
      <c r="I139" s="424"/>
      <c r="J139" s="173"/>
      <c r="K139" s="173"/>
      <c r="L139" s="173"/>
      <c r="M139" s="173"/>
    </row>
    <row r="140" spans="1:13" ht="25.5">
      <c r="A140" s="171" t="s">
        <v>343</v>
      </c>
      <c r="B140" s="425">
        <f>F139-B139</f>
        <v>10488</v>
      </c>
      <c r="C140" s="423"/>
      <c r="D140" s="423"/>
      <c r="E140" s="423"/>
      <c r="F140" s="423"/>
      <c r="G140" s="423"/>
      <c r="H140" s="423"/>
      <c r="I140" s="423"/>
      <c r="J140" s="173"/>
      <c r="K140" s="173"/>
      <c r="L140" s="173"/>
      <c r="M140" s="173"/>
    </row>
    <row r="141" spans="1:13" ht="25.5">
      <c r="A141" s="171" t="s">
        <v>344</v>
      </c>
      <c r="B141" s="425">
        <f>B140/150</f>
        <v>69.92</v>
      </c>
      <c r="C141" s="423"/>
      <c r="D141" s="423"/>
      <c r="E141" s="423"/>
      <c r="F141" s="423"/>
      <c r="G141" s="423"/>
      <c r="H141" s="423"/>
      <c r="I141" s="423"/>
      <c r="J141" s="173"/>
      <c r="K141" s="173"/>
      <c r="L141" s="173"/>
      <c r="M141" s="173"/>
    </row>
    <row r="142" spans="1:13">
      <c r="A142" s="173"/>
      <c r="B142" s="173"/>
      <c r="C142" s="173"/>
      <c r="D142" s="173"/>
      <c r="E142" s="173"/>
      <c r="F142" s="173"/>
      <c r="G142" s="173"/>
      <c r="H142" s="173"/>
      <c r="I142" s="173"/>
      <c r="J142" s="173"/>
      <c r="K142" s="173"/>
      <c r="L142" s="173"/>
      <c r="M142" s="173"/>
    </row>
    <row r="143" spans="1:13">
      <c r="A143" s="172" t="s">
        <v>345</v>
      </c>
      <c r="B143" s="173"/>
      <c r="C143" s="173"/>
      <c r="D143" s="173"/>
      <c r="E143" s="173"/>
      <c r="F143" s="173"/>
      <c r="G143" s="173"/>
      <c r="H143" s="173"/>
      <c r="I143" s="173"/>
      <c r="J143" s="173"/>
      <c r="K143" s="173"/>
      <c r="L143" s="173"/>
      <c r="M143" s="173"/>
    </row>
    <row r="144" spans="1:13">
      <c r="A144" s="172" t="s">
        <v>229</v>
      </c>
      <c r="B144" s="173"/>
      <c r="C144" s="173"/>
      <c r="D144" s="173"/>
      <c r="E144" s="173"/>
      <c r="F144" s="173"/>
      <c r="G144" s="173"/>
      <c r="H144" s="173"/>
      <c r="I144" s="173"/>
      <c r="J144" s="173"/>
      <c r="K144" s="173"/>
      <c r="L144" s="173"/>
      <c r="M144" s="173"/>
    </row>
    <row r="145" spans="1:13">
      <c r="A145" s="416" t="s">
        <v>226</v>
      </c>
      <c r="B145" s="423" t="s">
        <v>337</v>
      </c>
      <c r="C145" s="423"/>
      <c r="D145" s="423"/>
      <c r="E145" s="423"/>
      <c r="F145" s="423" t="s">
        <v>339</v>
      </c>
      <c r="G145" s="423"/>
      <c r="H145" s="423"/>
      <c r="I145" s="423"/>
      <c r="J145" s="173"/>
      <c r="K145" s="173"/>
      <c r="L145" s="173"/>
      <c r="M145" s="173"/>
    </row>
    <row r="146" spans="1:13">
      <c r="A146" s="416"/>
      <c r="B146" s="174" t="s">
        <v>331</v>
      </c>
      <c r="C146" s="174" t="s">
        <v>332</v>
      </c>
      <c r="D146" s="174" t="s">
        <v>336</v>
      </c>
      <c r="E146" s="174" t="s">
        <v>333</v>
      </c>
      <c r="F146" s="174" t="s">
        <v>331</v>
      </c>
      <c r="G146" s="174" t="s">
        <v>332</v>
      </c>
      <c r="H146" s="174" t="s">
        <v>336</v>
      </c>
      <c r="I146" s="174" t="s">
        <v>333</v>
      </c>
      <c r="J146" s="173"/>
      <c r="K146" s="173"/>
      <c r="L146" s="173"/>
      <c r="M146" s="173"/>
    </row>
    <row r="147" spans="1:13">
      <c r="A147" s="175" t="s">
        <v>334</v>
      </c>
      <c r="B147" s="175">
        <v>123</v>
      </c>
      <c r="C147" s="175">
        <v>300</v>
      </c>
      <c r="D147" s="175">
        <v>0.49</v>
      </c>
      <c r="E147" s="175">
        <f>(C147*D147)*B147</f>
        <v>18081</v>
      </c>
      <c r="F147" s="175">
        <v>123</v>
      </c>
      <c r="G147" s="175">
        <v>255</v>
      </c>
      <c r="H147" s="175">
        <v>0.68</v>
      </c>
      <c r="I147" s="176">
        <f>(G147*H147)*F147</f>
        <v>21328.2</v>
      </c>
      <c r="J147" s="173"/>
      <c r="K147" s="173"/>
      <c r="L147" s="173"/>
      <c r="M147" s="173"/>
    </row>
    <row r="148" spans="1:13">
      <c r="A148" s="175" t="s">
        <v>346</v>
      </c>
      <c r="B148" s="175">
        <v>173</v>
      </c>
      <c r="C148" s="175">
        <v>32</v>
      </c>
      <c r="D148" s="177">
        <v>3.4</v>
      </c>
      <c r="E148" s="176">
        <f>(C148*D148)*B148</f>
        <v>18822.399999999998</v>
      </c>
      <c r="F148" s="175">
        <v>173</v>
      </c>
      <c r="G148" s="175">
        <v>26</v>
      </c>
      <c r="H148" s="177">
        <v>3.4</v>
      </c>
      <c r="I148" s="176">
        <f>(G148*H148)*F148</f>
        <v>15293.199999999999</v>
      </c>
      <c r="J148" s="173"/>
      <c r="K148" s="173"/>
      <c r="L148" s="173"/>
      <c r="M148" s="173"/>
    </row>
    <row r="149" spans="1:13">
      <c r="A149" s="175" t="s">
        <v>347</v>
      </c>
      <c r="B149" s="175">
        <v>28</v>
      </c>
      <c r="C149" s="175">
        <v>34</v>
      </c>
      <c r="D149" s="177">
        <v>3.9</v>
      </c>
      <c r="E149" s="176">
        <f>(C149*D149)*B149</f>
        <v>3712.7999999999997</v>
      </c>
      <c r="F149" s="175">
        <v>28</v>
      </c>
      <c r="G149" s="175">
        <v>30</v>
      </c>
      <c r="H149" s="177">
        <v>3.9</v>
      </c>
      <c r="I149" s="176">
        <f>(G149*H149)*F149</f>
        <v>3276</v>
      </c>
      <c r="J149" s="173"/>
      <c r="K149" s="173"/>
      <c r="L149" s="173"/>
      <c r="M149" s="173"/>
    </row>
    <row r="150" spans="1:13">
      <c r="A150" s="175" t="s">
        <v>230</v>
      </c>
      <c r="B150" s="175"/>
      <c r="C150" s="175">
        <v>150</v>
      </c>
      <c r="D150" s="175">
        <v>1.95</v>
      </c>
      <c r="E150" s="176">
        <f>(C150*D150)</f>
        <v>292.5</v>
      </c>
      <c r="F150" s="175"/>
      <c r="G150" s="175">
        <v>150</v>
      </c>
      <c r="H150" s="175">
        <v>1.95</v>
      </c>
      <c r="I150" s="176">
        <f>(G150*H150)</f>
        <v>292.5</v>
      </c>
      <c r="J150" s="173"/>
      <c r="K150" s="173"/>
      <c r="L150" s="173"/>
      <c r="M150" s="173"/>
    </row>
    <row r="151" spans="1:13">
      <c r="A151" s="175" t="s">
        <v>228</v>
      </c>
      <c r="B151" s="424">
        <f>SUM(E147:E150)</f>
        <v>40908.699999999997</v>
      </c>
      <c r="C151" s="424"/>
      <c r="D151" s="424"/>
      <c r="E151" s="424"/>
      <c r="F151" s="424">
        <f>SUM(I147:I150)</f>
        <v>40189.9</v>
      </c>
      <c r="G151" s="424"/>
      <c r="H151" s="424"/>
      <c r="I151" s="424"/>
      <c r="J151" s="173"/>
      <c r="K151" s="173"/>
      <c r="L151" s="173"/>
      <c r="M151" s="173"/>
    </row>
    <row r="152" spans="1:13">
      <c r="A152" s="175" t="s">
        <v>340</v>
      </c>
      <c r="B152" s="424">
        <f>B151-F151</f>
        <v>718.79999999999563</v>
      </c>
      <c r="C152" s="416"/>
      <c r="D152" s="416"/>
      <c r="E152" s="416"/>
      <c r="F152" s="416"/>
      <c r="G152" s="416"/>
      <c r="H152" s="416"/>
      <c r="I152" s="416"/>
      <c r="J152" s="173"/>
      <c r="K152" s="173"/>
      <c r="L152" s="173"/>
      <c r="M152" s="173"/>
    </row>
    <row r="153" spans="1:13">
      <c r="A153" s="175" t="s">
        <v>348</v>
      </c>
      <c r="B153" s="426">
        <f>B152/150</f>
        <v>4.7919999999999705</v>
      </c>
      <c r="C153" s="426"/>
      <c r="D153" s="426"/>
      <c r="E153" s="426"/>
      <c r="F153" s="426"/>
      <c r="G153" s="426"/>
      <c r="H153" s="426"/>
      <c r="I153" s="426"/>
      <c r="J153" s="173"/>
      <c r="K153" s="173"/>
      <c r="L153" s="173"/>
      <c r="M153" s="173"/>
    </row>
    <row r="154" spans="1:13">
      <c r="A154" s="175" t="s">
        <v>342</v>
      </c>
      <c r="B154" s="424">
        <v>22392</v>
      </c>
      <c r="C154" s="424"/>
      <c r="D154" s="424"/>
      <c r="E154" s="424"/>
      <c r="F154" s="424">
        <v>33588</v>
      </c>
      <c r="G154" s="424"/>
      <c r="H154" s="424"/>
      <c r="I154" s="424"/>
      <c r="J154" s="173"/>
      <c r="K154" s="173"/>
      <c r="L154" s="173"/>
      <c r="M154" s="173"/>
    </row>
    <row r="155" spans="1:13" ht="25.5">
      <c r="A155" s="171" t="s">
        <v>343</v>
      </c>
      <c r="B155" s="425">
        <f>F154-B154</f>
        <v>11196</v>
      </c>
      <c r="C155" s="423"/>
      <c r="D155" s="423"/>
      <c r="E155" s="423"/>
      <c r="F155" s="423"/>
      <c r="G155" s="423"/>
      <c r="H155" s="423"/>
      <c r="I155" s="423"/>
      <c r="J155" s="173"/>
      <c r="K155" s="173"/>
      <c r="L155" s="173"/>
      <c r="M155" s="173"/>
    </row>
    <row r="156" spans="1:13" ht="25.5">
      <c r="A156" s="171" t="s">
        <v>360</v>
      </c>
      <c r="B156" s="425">
        <f>B155/150</f>
        <v>74.64</v>
      </c>
      <c r="C156" s="425"/>
      <c r="D156" s="425"/>
      <c r="E156" s="425"/>
      <c r="F156" s="425"/>
      <c r="G156" s="425"/>
      <c r="H156" s="425"/>
      <c r="I156" s="425"/>
      <c r="J156" s="173"/>
      <c r="K156" s="173"/>
      <c r="L156" s="173"/>
      <c r="M156" s="173"/>
    </row>
    <row r="157" spans="1:13">
      <c r="A157" s="173"/>
      <c r="B157" s="173"/>
      <c r="C157" s="173"/>
      <c r="D157" s="173"/>
      <c r="E157" s="173"/>
      <c r="F157" s="173"/>
      <c r="G157" s="173"/>
      <c r="H157" s="173"/>
      <c r="I157" s="173"/>
      <c r="J157" s="173"/>
      <c r="K157" s="173"/>
      <c r="L157" s="173"/>
      <c r="M157" s="173"/>
    </row>
    <row r="158" spans="1:13">
      <c r="A158" s="173"/>
      <c r="B158" s="173"/>
      <c r="C158" s="173"/>
      <c r="D158" s="173"/>
      <c r="E158" s="173"/>
      <c r="F158" s="173"/>
      <c r="G158" s="173"/>
      <c r="H158" s="173"/>
      <c r="I158" s="173"/>
      <c r="J158" s="173"/>
      <c r="K158" s="173"/>
      <c r="L158" s="173"/>
      <c r="M158" s="173"/>
    </row>
    <row r="159" spans="1:13">
      <c r="A159" s="173"/>
      <c r="B159" s="173"/>
      <c r="C159" s="173"/>
      <c r="D159" s="173"/>
      <c r="E159" s="173"/>
      <c r="F159" s="173"/>
      <c r="G159" s="173"/>
      <c r="H159" s="173"/>
      <c r="I159" s="173"/>
      <c r="J159" s="173"/>
      <c r="K159" s="173"/>
      <c r="L159" s="173"/>
      <c r="M159" s="173"/>
    </row>
  </sheetData>
  <mergeCells count="137">
    <mergeCell ref="B155:I155"/>
    <mergeCell ref="B156:I156"/>
    <mergeCell ref="B151:E151"/>
    <mergeCell ref="F151:I151"/>
    <mergeCell ref="B152:I152"/>
    <mergeCell ref="B153:I153"/>
    <mergeCell ref="B154:E154"/>
    <mergeCell ref="F154:I154"/>
    <mergeCell ref="B138:I138"/>
    <mergeCell ref="B139:E139"/>
    <mergeCell ref="F139:I139"/>
    <mergeCell ref="B140:I140"/>
    <mergeCell ref="B141:I141"/>
    <mergeCell ref="A145:A146"/>
    <mergeCell ref="B145:E145"/>
    <mergeCell ref="F145:I145"/>
    <mergeCell ref="A130:A131"/>
    <mergeCell ref="B130:E130"/>
    <mergeCell ref="F130:I130"/>
    <mergeCell ref="B136:E136"/>
    <mergeCell ref="F136:I136"/>
    <mergeCell ref="B137:I137"/>
    <mergeCell ref="A113:B113"/>
    <mergeCell ref="C113:D113"/>
    <mergeCell ref="A120:E120"/>
    <mergeCell ref="A125:G125"/>
    <mergeCell ref="A126:G126"/>
    <mergeCell ref="A127:G127"/>
    <mergeCell ref="A108:B108"/>
    <mergeCell ref="A109:B109"/>
    <mergeCell ref="A110:B110"/>
    <mergeCell ref="A111:B111"/>
    <mergeCell ref="C111:D111"/>
    <mergeCell ref="A112:B112"/>
    <mergeCell ref="A97:A98"/>
    <mergeCell ref="B97:E97"/>
    <mergeCell ref="F97:I97"/>
    <mergeCell ref="B102:I102"/>
    <mergeCell ref="B104:I104"/>
    <mergeCell ref="A107:B107"/>
    <mergeCell ref="A91:B91"/>
    <mergeCell ref="A92:B92"/>
    <mergeCell ref="C92:D92"/>
    <mergeCell ref="A93:B93"/>
    <mergeCell ref="A94:B94"/>
    <mergeCell ref="C94:D94"/>
    <mergeCell ref="B82:G82"/>
    <mergeCell ref="B83:C83"/>
    <mergeCell ref="B84:G84"/>
    <mergeCell ref="A88:B88"/>
    <mergeCell ref="A89:B89"/>
    <mergeCell ref="A90:B90"/>
    <mergeCell ref="A79:A80"/>
    <mergeCell ref="C79:C80"/>
    <mergeCell ref="E79:E80"/>
    <mergeCell ref="F79:F80"/>
    <mergeCell ref="G79:G80"/>
    <mergeCell ref="B81:C81"/>
    <mergeCell ref="A72:B72"/>
    <mergeCell ref="C72:D72"/>
    <mergeCell ref="A75:A76"/>
    <mergeCell ref="B75:C75"/>
    <mergeCell ref="D75:G75"/>
    <mergeCell ref="A77:A78"/>
    <mergeCell ref="C77:C78"/>
    <mergeCell ref="E77:E78"/>
    <mergeCell ref="F77:F78"/>
    <mergeCell ref="G77:G78"/>
    <mergeCell ref="A66:B66"/>
    <mergeCell ref="A67:B67"/>
    <mergeCell ref="A68:B68"/>
    <mergeCell ref="A69:B69"/>
    <mergeCell ref="A70:B70"/>
    <mergeCell ref="C70:D70"/>
    <mergeCell ref="A60:B60"/>
    <mergeCell ref="A61:B61"/>
    <mergeCell ref="C61:D61"/>
    <mergeCell ref="A62:B62"/>
    <mergeCell ref="A63:B63"/>
    <mergeCell ref="C63:D63"/>
    <mergeCell ref="A53:B53"/>
    <mergeCell ref="A54:B54"/>
    <mergeCell ref="C54:D54"/>
    <mergeCell ref="A57:B57"/>
    <mergeCell ref="A58:B58"/>
    <mergeCell ref="A59:B59"/>
    <mergeCell ref="A48:B48"/>
    <mergeCell ref="A49:B49"/>
    <mergeCell ref="A50:B50"/>
    <mergeCell ref="A51:B51"/>
    <mergeCell ref="A52:B52"/>
    <mergeCell ref="C52:D52"/>
    <mergeCell ref="A41:B41"/>
    <mergeCell ref="A42:B42"/>
    <mergeCell ref="A43:B43"/>
    <mergeCell ref="C43:D43"/>
    <mergeCell ref="A44:B44"/>
    <mergeCell ref="A45:B45"/>
    <mergeCell ref="C45:D45"/>
    <mergeCell ref="C34:D34"/>
    <mergeCell ref="A35:B35"/>
    <mergeCell ref="A36:B36"/>
    <mergeCell ref="C36:D36"/>
    <mergeCell ref="A39:B39"/>
    <mergeCell ref="A40:B40"/>
    <mergeCell ref="A23:B23"/>
    <mergeCell ref="A30:B30"/>
    <mergeCell ref="A31:B31"/>
    <mergeCell ref="A32:B32"/>
    <mergeCell ref="A33:B33"/>
    <mergeCell ref="A34:B34"/>
    <mergeCell ref="G17:G18"/>
    <mergeCell ref="A19:B19"/>
    <mergeCell ref="A20:A22"/>
    <mergeCell ref="D20:D22"/>
    <mergeCell ref="E20:E22"/>
    <mergeCell ref="F20:F22"/>
    <mergeCell ref="G20:G22"/>
    <mergeCell ref="A27:H27"/>
    <mergeCell ref="A3:G3"/>
    <mergeCell ref="A4:G4"/>
    <mergeCell ref="A7:G7"/>
    <mergeCell ref="A8:G8"/>
    <mergeCell ref="A15:B15"/>
    <mergeCell ref="A16:B16"/>
    <mergeCell ref="A17:A18"/>
    <mergeCell ref="D17:D18"/>
    <mergeCell ref="E17:E18"/>
    <mergeCell ref="F17:F18"/>
    <mergeCell ref="A9:G9"/>
    <mergeCell ref="A10:G10"/>
    <mergeCell ref="A11:B11"/>
    <mergeCell ref="A12:B12"/>
    <mergeCell ref="A13:B13"/>
    <mergeCell ref="A14:B14"/>
    <mergeCell ref="A5:H5"/>
    <mergeCell ref="A6:H6"/>
  </mergeCells>
  <pageMargins left="0.7" right="0.7" top="0.75" bottom="0.75" header="0.3" footer="0.3"/>
  <pageSetup paperSize="9" scale="80" fitToHeight="0" orientation="landscape" r:id="rId1"/>
</worksheet>
</file>

<file path=xl/worksheets/sheet23.xml><?xml version="1.0" encoding="utf-8"?>
<worksheet xmlns="http://schemas.openxmlformats.org/spreadsheetml/2006/main" xmlns:r="http://schemas.openxmlformats.org/officeDocument/2006/relationships">
  <sheetPr codeName="Sheet23">
    <tabColor rgb="FF92D050"/>
    <pageSetUpPr fitToPage="1"/>
  </sheetPr>
  <dimension ref="A1:J157"/>
  <sheetViews>
    <sheetView topLeftCell="A124" workbookViewId="0">
      <selection activeCell="P142" sqref="P142"/>
    </sheetView>
  </sheetViews>
  <sheetFormatPr defaultColWidth="9.140625" defaultRowHeight="12.75"/>
  <cols>
    <col min="1" max="1" width="25" style="173" customWidth="1"/>
    <col min="2" max="2" width="13.28515625" style="173" customWidth="1"/>
    <col min="3" max="3" width="15.7109375" style="173" customWidth="1"/>
    <col min="4" max="4" width="15" style="173" customWidth="1"/>
    <col min="5" max="5" width="14.28515625" style="173" customWidth="1"/>
    <col min="6" max="6" width="16.140625" style="173" customWidth="1"/>
    <col min="7" max="7" width="12" style="173" customWidth="1"/>
    <col min="8" max="8" width="9.5703125" style="173" customWidth="1"/>
    <col min="9" max="9" width="6.28515625" style="173" customWidth="1"/>
    <col min="10" max="15" width="9.140625" style="173"/>
    <col min="16" max="16" width="72" style="173" bestFit="1" customWidth="1"/>
    <col min="17" max="16384" width="9.140625" style="173"/>
  </cols>
  <sheetData>
    <row r="1" spans="1:7">
      <c r="A1" s="172" t="s">
        <v>257</v>
      </c>
      <c r="B1" s="172"/>
    </row>
    <row r="3" spans="1:7">
      <c r="A3" s="172" t="s">
        <v>251</v>
      </c>
    </row>
    <row r="4" spans="1:7" ht="15" customHeight="1">
      <c r="A4" s="187" t="s">
        <v>236</v>
      </c>
    </row>
    <row r="5" spans="1:7" ht="79.5" customHeight="1">
      <c r="A5" s="427" t="s">
        <v>237</v>
      </c>
      <c r="B5" s="427"/>
      <c r="C5" s="427"/>
      <c r="D5" s="427"/>
      <c r="E5" s="427"/>
      <c r="F5" s="427"/>
      <c r="G5" s="427"/>
    </row>
    <row r="6" spans="1:7" ht="39.75" customHeight="1">
      <c r="A6" s="427" t="s">
        <v>238</v>
      </c>
      <c r="B6" s="427"/>
      <c r="C6" s="427"/>
      <c r="D6" s="427"/>
      <c r="E6" s="427"/>
      <c r="F6" s="427"/>
      <c r="G6" s="427"/>
    </row>
    <row r="7" spans="1:7" ht="30" customHeight="1">
      <c r="A7" s="405" t="s">
        <v>231</v>
      </c>
      <c r="B7" s="405"/>
      <c r="C7" s="405"/>
      <c r="D7" s="405"/>
      <c r="E7" s="405"/>
      <c r="F7" s="405"/>
      <c r="G7" s="405"/>
    </row>
    <row r="8" spans="1:7" ht="28.5" customHeight="1">
      <c r="A8" s="405" t="s">
        <v>232</v>
      </c>
      <c r="B8" s="405"/>
      <c r="C8" s="405"/>
      <c r="D8" s="405"/>
      <c r="E8" s="405"/>
      <c r="F8" s="405"/>
      <c r="G8" s="405"/>
    </row>
    <row r="9" spans="1:7" ht="30" customHeight="1">
      <c r="A9" s="315" t="s">
        <v>366</v>
      </c>
      <c r="B9" s="315"/>
      <c r="C9" s="315"/>
      <c r="D9" s="315"/>
      <c r="E9" s="315"/>
      <c r="F9" s="315"/>
      <c r="G9" s="315"/>
    </row>
    <row r="11" spans="1:7">
      <c r="A11" s="403" t="s">
        <v>305</v>
      </c>
      <c r="B11" s="403"/>
      <c r="C11" s="403"/>
      <c r="D11" s="403"/>
      <c r="E11" s="403"/>
      <c r="F11" s="403"/>
      <c r="G11" s="403"/>
    </row>
    <row r="12" spans="1:7" ht="51">
      <c r="A12" s="410" t="s">
        <v>49</v>
      </c>
      <c r="B12" s="411"/>
      <c r="C12" s="185" t="s">
        <v>368</v>
      </c>
      <c r="D12" s="185" t="s">
        <v>445</v>
      </c>
      <c r="E12" s="185" t="s">
        <v>439</v>
      </c>
      <c r="F12" s="185" t="s">
        <v>85</v>
      </c>
      <c r="G12" s="172"/>
    </row>
    <row r="13" spans="1:7">
      <c r="A13" s="406" t="s">
        <v>311</v>
      </c>
      <c r="B13" s="407"/>
      <c r="C13" s="175">
        <v>2.1</v>
      </c>
      <c r="D13" s="175">
        <v>495</v>
      </c>
      <c r="E13" s="175">
        <v>821</v>
      </c>
      <c r="F13" s="179">
        <f>D13+E13</f>
        <v>1316</v>
      </c>
    </row>
    <row r="14" spans="1:7">
      <c r="A14" s="406" t="s">
        <v>198</v>
      </c>
      <c r="B14" s="407"/>
      <c r="C14" s="175">
        <v>30</v>
      </c>
      <c r="D14" s="175">
        <v>1315</v>
      </c>
      <c r="E14" s="179">
        <v>1058.5999999999999</v>
      </c>
      <c r="F14" s="179">
        <f>D14+E14</f>
        <v>2373.6</v>
      </c>
    </row>
    <row r="15" spans="1:7">
      <c r="A15" s="406" t="s">
        <v>199</v>
      </c>
      <c r="B15" s="407"/>
      <c r="C15" s="175">
        <v>10</v>
      </c>
      <c r="D15" s="175">
        <v>0</v>
      </c>
      <c r="E15" s="179">
        <v>1059.0999999999999</v>
      </c>
      <c r="F15" s="179">
        <f>D15+E15</f>
        <v>1059.0999999999999</v>
      </c>
    </row>
    <row r="16" spans="1:7">
      <c r="A16" s="406" t="s">
        <v>200</v>
      </c>
      <c r="B16" s="407"/>
      <c r="C16" s="175">
        <v>6</v>
      </c>
      <c r="D16" s="175">
        <v>819</v>
      </c>
      <c r="E16" s="175">
        <v>232.7</v>
      </c>
      <c r="F16" s="179">
        <f>D16+E16</f>
        <v>1051.7</v>
      </c>
    </row>
    <row r="17" spans="1:7">
      <c r="A17" s="406" t="s">
        <v>310</v>
      </c>
      <c r="B17" s="407"/>
      <c r="C17" s="177">
        <v>0.52500000000000002</v>
      </c>
      <c r="D17" s="182">
        <v>123.75</v>
      </c>
      <c r="E17" s="182">
        <v>517.04999999999995</v>
      </c>
      <c r="F17" s="179">
        <f>D17+E17</f>
        <v>640.79999999999995</v>
      </c>
    </row>
    <row r="18" spans="1:7">
      <c r="A18" s="408" t="s">
        <v>364</v>
      </c>
      <c r="B18" s="175" t="s">
        <v>308</v>
      </c>
      <c r="C18" s="175">
        <v>1.38</v>
      </c>
      <c r="D18" s="428">
        <v>283.81599999999997</v>
      </c>
      <c r="E18" s="428">
        <v>93.83</v>
      </c>
      <c r="F18" s="428">
        <f>(D18+E18)-22.5</f>
        <v>355.14599999999996</v>
      </c>
      <c r="G18" s="430"/>
    </row>
    <row r="19" spans="1:7">
      <c r="A19" s="409"/>
      <c r="B19" s="175" t="s">
        <v>309</v>
      </c>
      <c r="C19" s="175">
        <v>2.6</v>
      </c>
      <c r="D19" s="429"/>
      <c r="E19" s="429"/>
      <c r="F19" s="429"/>
      <c r="G19" s="430"/>
    </row>
    <row r="20" spans="1:7">
      <c r="A20" s="406" t="s">
        <v>51</v>
      </c>
      <c r="B20" s="407"/>
      <c r="C20" s="175">
        <v>26.25</v>
      </c>
      <c r="D20" s="179">
        <v>307.125</v>
      </c>
      <c r="E20" s="179">
        <v>603.70000000000005</v>
      </c>
      <c r="F20" s="179">
        <f>D20+E20</f>
        <v>910.82500000000005</v>
      </c>
    </row>
    <row r="21" spans="1:7">
      <c r="A21" s="408" t="s">
        <v>201</v>
      </c>
      <c r="B21" s="175" t="s">
        <v>216</v>
      </c>
      <c r="C21" s="175">
        <v>29.25</v>
      </c>
      <c r="D21" s="428">
        <v>451.25</v>
      </c>
      <c r="E21" s="428">
        <v>966</v>
      </c>
      <c r="F21" s="428">
        <f>D21+E21</f>
        <v>1417.25</v>
      </c>
      <c r="G21" s="430"/>
    </row>
    <row r="22" spans="1:7">
      <c r="A22" s="413"/>
      <c r="B22" s="175" t="s">
        <v>306</v>
      </c>
      <c r="C22" s="175">
        <v>19.5</v>
      </c>
      <c r="D22" s="431"/>
      <c r="E22" s="431"/>
      <c r="F22" s="431"/>
      <c r="G22" s="430"/>
    </row>
    <row r="23" spans="1:7">
      <c r="A23" s="409"/>
      <c r="B23" s="175" t="s">
        <v>307</v>
      </c>
      <c r="C23" s="175">
        <v>39</v>
      </c>
      <c r="D23" s="429"/>
      <c r="E23" s="429"/>
      <c r="F23" s="429"/>
      <c r="G23" s="430"/>
    </row>
    <row r="24" spans="1:7">
      <c r="A24" s="406" t="s">
        <v>202</v>
      </c>
      <c r="B24" s="407"/>
      <c r="C24" s="175">
        <v>8.5</v>
      </c>
      <c r="D24" s="179">
        <v>48.375</v>
      </c>
      <c r="E24" s="179">
        <v>610</v>
      </c>
      <c r="F24" s="179">
        <f>D24+E24</f>
        <v>658.375</v>
      </c>
    </row>
    <row r="26" spans="1:7" ht="15">
      <c r="A26" s="173" t="s">
        <v>446</v>
      </c>
    </row>
    <row r="27" spans="1:7" ht="15">
      <c r="A27" s="173" t="s">
        <v>447</v>
      </c>
    </row>
    <row r="28" spans="1:7" ht="30.75" customHeight="1">
      <c r="A28" s="405" t="s">
        <v>365</v>
      </c>
      <c r="B28" s="405"/>
      <c r="C28" s="405"/>
      <c r="D28" s="405"/>
      <c r="E28" s="405"/>
      <c r="F28" s="405"/>
      <c r="G28" s="405"/>
    </row>
    <row r="29" spans="1:7">
      <c r="A29" s="172" t="s">
        <v>203</v>
      </c>
      <c r="B29" s="172"/>
      <c r="C29" s="172"/>
    </row>
    <row r="31" spans="1:7" ht="25.5">
      <c r="A31" s="416" t="s">
        <v>312</v>
      </c>
      <c r="B31" s="416"/>
      <c r="C31" s="185" t="s">
        <v>233</v>
      </c>
      <c r="D31" s="185" t="s">
        <v>205</v>
      </c>
    </row>
    <row r="32" spans="1:7">
      <c r="A32" s="406" t="s">
        <v>314</v>
      </c>
      <c r="B32" s="407"/>
      <c r="C32" s="175">
        <v>2.1</v>
      </c>
      <c r="D32" s="175">
        <v>3</v>
      </c>
    </row>
    <row r="33" spans="1:4">
      <c r="A33" s="406" t="s">
        <v>317</v>
      </c>
      <c r="B33" s="407"/>
      <c r="C33" s="175">
        <v>3950</v>
      </c>
      <c r="D33" s="175">
        <v>2930</v>
      </c>
    </row>
    <row r="34" spans="1:4">
      <c r="A34" s="406" t="s">
        <v>316</v>
      </c>
      <c r="B34" s="407"/>
      <c r="C34" s="175">
        <v>8295</v>
      </c>
      <c r="D34" s="175">
        <v>8790</v>
      </c>
    </row>
    <row r="35" spans="1:4">
      <c r="A35" s="406" t="s">
        <v>350</v>
      </c>
      <c r="B35" s="407"/>
      <c r="C35" s="414">
        <f>D34-C34</f>
        <v>495</v>
      </c>
      <c r="D35" s="414"/>
    </row>
    <row r="36" spans="1:4">
      <c r="A36" s="406" t="s">
        <v>315</v>
      </c>
      <c r="B36" s="407"/>
      <c r="C36" s="175">
        <v>9028</v>
      </c>
      <c r="D36" s="175">
        <v>8207</v>
      </c>
    </row>
    <row r="37" spans="1:4">
      <c r="A37" s="406" t="s">
        <v>351</v>
      </c>
      <c r="B37" s="407"/>
      <c r="C37" s="414">
        <f>C36-D36</f>
        <v>821</v>
      </c>
      <c r="D37" s="414"/>
    </row>
    <row r="38" spans="1:4">
      <c r="A38" s="178" t="s">
        <v>448</v>
      </c>
    </row>
    <row r="40" spans="1:4" ht="25.5">
      <c r="A40" s="410" t="s">
        <v>318</v>
      </c>
      <c r="B40" s="411"/>
      <c r="C40" s="185" t="s">
        <v>233</v>
      </c>
      <c r="D40" s="185" t="s">
        <v>205</v>
      </c>
    </row>
    <row r="41" spans="1:4">
      <c r="A41" s="414" t="s">
        <v>209</v>
      </c>
      <c r="B41" s="414"/>
      <c r="C41" s="179">
        <v>30</v>
      </c>
      <c r="D41" s="179">
        <v>50</v>
      </c>
    </row>
    <row r="42" spans="1:4">
      <c r="A42" s="414" t="s">
        <v>206</v>
      </c>
      <c r="B42" s="414"/>
      <c r="C42" s="179">
        <v>394.5</v>
      </c>
      <c r="D42" s="179">
        <v>263</v>
      </c>
    </row>
    <row r="43" spans="1:4">
      <c r="A43" s="414" t="s">
        <v>207</v>
      </c>
      <c r="B43" s="414"/>
      <c r="C43" s="179">
        <v>11835</v>
      </c>
      <c r="D43" s="179">
        <v>13150</v>
      </c>
    </row>
    <row r="44" spans="1:4">
      <c r="A44" s="406" t="s">
        <v>350</v>
      </c>
      <c r="B44" s="407"/>
      <c r="C44" s="415">
        <f>D43-C43</f>
        <v>1315</v>
      </c>
      <c r="D44" s="415"/>
    </row>
    <row r="45" spans="1:4">
      <c r="A45" s="414" t="s">
        <v>208</v>
      </c>
      <c r="B45" s="414"/>
      <c r="C45" s="179">
        <v>9651.6</v>
      </c>
      <c r="D45" s="179">
        <v>8593</v>
      </c>
    </row>
    <row r="46" spans="1:4">
      <c r="A46" s="406" t="s">
        <v>351</v>
      </c>
      <c r="B46" s="407"/>
      <c r="C46" s="415">
        <f>C45-D45</f>
        <v>1058.6000000000004</v>
      </c>
      <c r="D46" s="415"/>
    </row>
    <row r="47" spans="1:4">
      <c r="A47" s="178" t="s">
        <v>442</v>
      </c>
    </row>
    <row r="49" spans="1:4" ht="25.5">
      <c r="A49" s="416" t="s">
        <v>319</v>
      </c>
      <c r="B49" s="416"/>
      <c r="C49" s="185" t="s">
        <v>233</v>
      </c>
      <c r="D49" s="185" t="s">
        <v>205</v>
      </c>
    </row>
    <row r="50" spans="1:4">
      <c r="A50" s="414" t="s">
        <v>209</v>
      </c>
      <c r="B50" s="414"/>
      <c r="C50" s="175">
        <v>10</v>
      </c>
      <c r="D50" s="175">
        <v>20</v>
      </c>
    </row>
    <row r="51" spans="1:4">
      <c r="A51" s="414" t="s">
        <v>317</v>
      </c>
      <c r="B51" s="414"/>
      <c r="C51" s="175">
        <v>780</v>
      </c>
      <c r="D51" s="175">
        <v>390</v>
      </c>
    </row>
    <row r="52" spans="1:4">
      <c r="A52" s="414" t="s">
        <v>316</v>
      </c>
      <c r="B52" s="414"/>
      <c r="C52" s="175">
        <v>7800</v>
      </c>
      <c r="D52" s="175">
        <v>7800</v>
      </c>
    </row>
    <row r="53" spans="1:4">
      <c r="A53" s="406" t="s">
        <v>350</v>
      </c>
      <c r="B53" s="407"/>
      <c r="C53" s="415">
        <f>D52-C52</f>
        <v>0</v>
      </c>
      <c r="D53" s="415"/>
    </row>
    <row r="54" spans="1:4">
      <c r="A54" s="414" t="s">
        <v>208</v>
      </c>
      <c r="B54" s="414"/>
      <c r="C54" s="179">
        <v>6807.1</v>
      </c>
      <c r="D54" s="179">
        <v>5748</v>
      </c>
    </row>
    <row r="55" spans="1:4">
      <c r="A55" s="406" t="s">
        <v>351</v>
      </c>
      <c r="B55" s="407"/>
      <c r="C55" s="415">
        <f>C54-D54</f>
        <v>1059.1000000000004</v>
      </c>
      <c r="D55" s="415"/>
    </row>
    <row r="56" spans="1:4">
      <c r="A56" s="178" t="s">
        <v>313</v>
      </c>
    </row>
    <row r="57" spans="1:4">
      <c r="A57" s="178"/>
    </row>
    <row r="59" spans="1:4" ht="25.5">
      <c r="A59" s="416" t="s">
        <v>322</v>
      </c>
      <c r="B59" s="416"/>
      <c r="C59" s="185" t="s">
        <v>233</v>
      </c>
      <c r="D59" s="185" t="s">
        <v>205</v>
      </c>
    </row>
    <row r="60" spans="1:4">
      <c r="A60" s="414" t="s">
        <v>209</v>
      </c>
      <c r="B60" s="414"/>
      <c r="C60" s="179">
        <v>6</v>
      </c>
      <c r="D60" s="179">
        <v>12</v>
      </c>
    </row>
    <row r="61" spans="1:4">
      <c r="A61" s="414" t="s">
        <v>206</v>
      </c>
      <c r="B61" s="414"/>
      <c r="C61" s="179">
        <v>409.5</v>
      </c>
      <c r="D61" s="179">
        <v>273</v>
      </c>
    </row>
    <row r="62" spans="1:4">
      <c r="A62" s="414" t="s">
        <v>207</v>
      </c>
      <c r="B62" s="414"/>
      <c r="C62" s="179">
        <v>2457</v>
      </c>
      <c r="D62" s="179">
        <v>3276</v>
      </c>
    </row>
    <row r="63" spans="1:4">
      <c r="A63" s="406" t="s">
        <v>350</v>
      </c>
      <c r="B63" s="407"/>
      <c r="C63" s="415">
        <f>D62-C62</f>
        <v>819</v>
      </c>
      <c r="D63" s="415"/>
    </row>
    <row r="64" spans="1:4">
      <c r="A64" s="414" t="s">
        <v>208</v>
      </c>
      <c r="B64" s="414"/>
      <c r="C64" s="179">
        <v>2055.6999999999998</v>
      </c>
      <c r="D64" s="179">
        <v>1823</v>
      </c>
    </row>
    <row r="65" spans="1:7">
      <c r="A65" s="406" t="s">
        <v>351</v>
      </c>
      <c r="B65" s="407"/>
      <c r="C65" s="415">
        <f>C64-D64</f>
        <v>232.69999999999982</v>
      </c>
      <c r="D65" s="415"/>
    </row>
    <row r="66" spans="1:7">
      <c r="A66" s="178" t="s">
        <v>442</v>
      </c>
    </row>
    <row r="68" spans="1:7" ht="25.5">
      <c r="A68" s="416" t="s">
        <v>323</v>
      </c>
      <c r="B68" s="416"/>
      <c r="C68" s="185" t="s">
        <v>233</v>
      </c>
      <c r="D68" s="185" t="s">
        <v>205</v>
      </c>
    </row>
    <row r="69" spans="1:7">
      <c r="A69" s="414" t="s">
        <v>210</v>
      </c>
      <c r="B69" s="414"/>
      <c r="C69" s="177">
        <v>0.52500000000000002</v>
      </c>
      <c r="D69" s="177">
        <v>0.75</v>
      </c>
    </row>
    <row r="70" spans="1:7">
      <c r="A70" s="414" t="s">
        <v>206</v>
      </c>
      <c r="B70" s="414"/>
      <c r="C70" s="179">
        <v>3950</v>
      </c>
      <c r="D70" s="179">
        <v>2930</v>
      </c>
    </row>
    <row r="71" spans="1:7">
      <c r="A71" s="414" t="s">
        <v>207</v>
      </c>
      <c r="B71" s="414"/>
      <c r="C71" s="179">
        <v>2073.75</v>
      </c>
      <c r="D71" s="179">
        <v>2197.5</v>
      </c>
    </row>
    <row r="72" spans="1:7">
      <c r="A72" s="406" t="s">
        <v>350</v>
      </c>
      <c r="B72" s="407"/>
      <c r="C72" s="415">
        <f>D71-C71</f>
        <v>123.75</v>
      </c>
      <c r="D72" s="415"/>
    </row>
    <row r="73" spans="1:7">
      <c r="A73" s="406" t="s">
        <v>208</v>
      </c>
      <c r="B73" s="407"/>
      <c r="C73" s="179">
        <v>5687.6</v>
      </c>
      <c r="D73" s="179">
        <v>5170.55</v>
      </c>
    </row>
    <row r="74" spans="1:7">
      <c r="A74" s="406" t="s">
        <v>351</v>
      </c>
      <c r="B74" s="407"/>
      <c r="C74" s="415">
        <f>C73-D73</f>
        <v>517.05000000000018</v>
      </c>
      <c r="D74" s="415"/>
    </row>
    <row r="75" spans="1:7">
      <c r="A75" s="178" t="s">
        <v>442</v>
      </c>
    </row>
    <row r="77" spans="1:7">
      <c r="A77" s="416" t="s">
        <v>324</v>
      </c>
      <c r="B77" s="416" t="s">
        <v>205</v>
      </c>
      <c r="C77" s="416"/>
      <c r="D77" s="416" t="s">
        <v>233</v>
      </c>
      <c r="E77" s="416"/>
      <c r="F77" s="416"/>
      <c r="G77" s="416"/>
    </row>
    <row r="78" spans="1:7" ht="25.5">
      <c r="A78" s="416"/>
      <c r="B78" s="171" t="s">
        <v>325</v>
      </c>
      <c r="C78" s="171" t="s">
        <v>211</v>
      </c>
      <c r="D78" s="171" t="s">
        <v>325</v>
      </c>
      <c r="E78" s="171" t="s">
        <v>212</v>
      </c>
      <c r="F78" s="171" t="s">
        <v>213</v>
      </c>
      <c r="G78" s="171" t="s">
        <v>211</v>
      </c>
    </row>
    <row r="79" spans="1:7">
      <c r="A79" s="414" t="s">
        <v>209</v>
      </c>
      <c r="B79" s="175">
        <v>2.2999999999999998</v>
      </c>
      <c r="C79" s="414" t="s">
        <v>108</v>
      </c>
      <c r="D79" s="175">
        <v>1.38</v>
      </c>
      <c r="E79" s="414">
        <v>2.6</v>
      </c>
      <c r="F79" s="414" t="s">
        <v>108</v>
      </c>
      <c r="G79" s="414" t="s">
        <v>108</v>
      </c>
    </row>
    <row r="80" spans="1:7">
      <c r="A80" s="414"/>
      <c r="B80" s="175">
        <v>2.5</v>
      </c>
      <c r="C80" s="414"/>
      <c r="D80" s="175">
        <v>1.5</v>
      </c>
      <c r="E80" s="414"/>
      <c r="F80" s="414"/>
      <c r="G80" s="414"/>
    </row>
    <row r="81" spans="1:9">
      <c r="A81" s="414" t="s">
        <v>206</v>
      </c>
      <c r="B81" s="175">
        <v>172</v>
      </c>
      <c r="C81" s="414" t="s">
        <v>108</v>
      </c>
      <c r="D81" s="175">
        <v>206.4</v>
      </c>
      <c r="E81" s="414">
        <v>199.2</v>
      </c>
      <c r="F81" s="414" t="s">
        <v>108</v>
      </c>
      <c r="G81" s="414" t="s">
        <v>108</v>
      </c>
    </row>
    <row r="82" spans="1:9">
      <c r="A82" s="414"/>
      <c r="B82" s="175">
        <v>82</v>
      </c>
      <c r="C82" s="414"/>
      <c r="D82" s="175">
        <v>98.4</v>
      </c>
      <c r="E82" s="414"/>
      <c r="F82" s="414"/>
      <c r="G82" s="414"/>
    </row>
    <row r="83" spans="1:9">
      <c r="A83" s="175" t="s">
        <v>214</v>
      </c>
      <c r="B83" s="417">
        <f>(B79*B81)+(B80*B82)</f>
        <v>600.59999999999991</v>
      </c>
      <c r="C83" s="419"/>
      <c r="D83" s="179">
        <f>(D79*D81)+(D80*D82)</f>
        <v>432.43200000000002</v>
      </c>
      <c r="E83" s="179">
        <f>E79*E81</f>
        <v>517.91999999999996</v>
      </c>
      <c r="F83" s="179">
        <v>0</v>
      </c>
      <c r="G83" s="180">
        <f>(SUM(D83:F83))/3</f>
        <v>316.78399999999999</v>
      </c>
    </row>
    <row r="84" spans="1:9" ht="25.5">
      <c r="A84" s="181" t="s">
        <v>320</v>
      </c>
      <c r="B84" s="420">
        <f>B83-G83</f>
        <v>283.81599999999992</v>
      </c>
      <c r="C84" s="421"/>
      <c r="D84" s="421"/>
      <c r="E84" s="421"/>
      <c r="F84" s="421"/>
      <c r="G84" s="421"/>
      <c r="I84" s="188"/>
    </row>
    <row r="85" spans="1:9">
      <c r="A85" s="175" t="s">
        <v>215</v>
      </c>
      <c r="B85" s="417">
        <v>343</v>
      </c>
      <c r="C85" s="419"/>
      <c r="D85" s="179">
        <v>269.5</v>
      </c>
      <c r="E85" s="179">
        <v>520.5</v>
      </c>
      <c r="F85" s="179">
        <v>520.5</v>
      </c>
      <c r="G85" s="179">
        <f>SUM(D85:F85)/3</f>
        <v>436.83333333333331</v>
      </c>
    </row>
    <row r="86" spans="1:9" ht="38.25">
      <c r="A86" s="181" t="s">
        <v>321</v>
      </c>
      <c r="B86" s="420">
        <f>G85-B85</f>
        <v>93.833333333333314</v>
      </c>
      <c r="C86" s="421"/>
      <c r="D86" s="421"/>
      <c r="E86" s="421"/>
      <c r="F86" s="421"/>
      <c r="G86" s="422"/>
    </row>
    <row r="87" spans="1:9">
      <c r="A87" s="178" t="s">
        <v>442</v>
      </c>
    </row>
    <row r="88" spans="1:9">
      <c r="A88" s="173" t="s">
        <v>369</v>
      </c>
    </row>
    <row r="92" spans="1:9" ht="25.5">
      <c r="A92" s="416" t="s">
        <v>326</v>
      </c>
      <c r="B92" s="416"/>
      <c r="C92" s="185" t="s">
        <v>233</v>
      </c>
      <c r="D92" s="185" t="s">
        <v>205</v>
      </c>
    </row>
    <row r="93" spans="1:9">
      <c r="A93" s="406" t="s">
        <v>239</v>
      </c>
      <c r="B93" s="407"/>
      <c r="C93" s="179">
        <v>26.25</v>
      </c>
      <c r="D93" s="179">
        <v>35</v>
      </c>
    </row>
    <row r="94" spans="1:9">
      <c r="A94" s="406" t="s">
        <v>317</v>
      </c>
      <c r="B94" s="407"/>
      <c r="C94" s="179">
        <v>456.3</v>
      </c>
      <c r="D94" s="179">
        <v>351</v>
      </c>
    </row>
    <row r="95" spans="1:9">
      <c r="A95" s="406" t="s">
        <v>316</v>
      </c>
      <c r="B95" s="407"/>
      <c r="C95" s="179">
        <v>11977.875</v>
      </c>
      <c r="D95" s="179">
        <v>12285</v>
      </c>
    </row>
    <row r="96" spans="1:9">
      <c r="A96" s="406" t="s">
        <v>350</v>
      </c>
      <c r="B96" s="407"/>
      <c r="C96" s="415">
        <f>D95-C95</f>
        <v>307.125</v>
      </c>
      <c r="D96" s="415"/>
    </row>
    <row r="97" spans="1:9">
      <c r="A97" s="406" t="s">
        <v>208</v>
      </c>
      <c r="B97" s="407"/>
      <c r="C97" s="179">
        <v>5837.7</v>
      </c>
      <c r="D97" s="179">
        <v>5234</v>
      </c>
    </row>
    <row r="98" spans="1:9">
      <c r="A98" s="406" t="s">
        <v>351</v>
      </c>
      <c r="B98" s="407"/>
      <c r="C98" s="415">
        <f>C97-D97</f>
        <v>603.69999999999982</v>
      </c>
      <c r="D98" s="415"/>
    </row>
    <row r="99" spans="1:9">
      <c r="A99" s="178" t="s">
        <v>442</v>
      </c>
    </row>
    <row r="101" spans="1:9">
      <c r="A101" s="416" t="s">
        <v>327</v>
      </c>
      <c r="B101" s="416" t="s">
        <v>233</v>
      </c>
      <c r="C101" s="416"/>
      <c r="D101" s="416"/>
      <c r="E101" s="416"/>
      <c r="F101" s="416" t="s">
        <v>205</v>
      </c>
      <c r="G101" s="416"/>
      <c r="H101" s="416"/>
      <c r="I101" s="416"/>
    </row>
    <row r="102" spans="1:9">
      <c r="A102" s="416"/>
      <c r="B102" s="171" t="s">
        <v>216</v>
      </c>
      <c r="C102" s="171" t="s">
        <v>217</v>
      </c>
      <c r="D102" s="171" t="s">
        <v>218</v>
      </c>
      <c r="E102" s="171" t="s">
        <v>219</v>
      </c>
      <c r="F102" s="171" t="s">
        <v>216</v>
      </c>
      <c r="G102" s="171" t="s">
        <v>217</v>
      </c>
      <c r="H102" s="171" t="s">
        <v>218</v>
      </c>
      <c r="I102" s="171" t="s">
        <v>219</v>
      </c>
    </row>
    <row r="103" spans="1:9">
      <c r="A103" s="175" t="s">
        <v>209</v>
      </c>
      <c r="B103" s="179">
        <v>29.25</v>
      </c>
      <c r="C103" s="179">
        <v>19.5</v>
      </c>
      <c r="D103" s="179">
        <v>39</v>
      </c>
      <c r="E103" s="175" t="s">
        <v>108</v>
      </c>
      <c r="F103" s="179">
        <v>45</v>
      </c>
      <c r="G103" s="179">
        <v>30</v>
      </c>
      <c r="H103" s="179">
        <v>60</v>
      </c>
      <c r="I103" s="175" t="s">
        <v>108</v>
      </c>
    </row>
    <row r="104" spans="1:9">
      <c r="A104" s="175" t="s">
        <v>317</v>
      </c>
      <c r="B104" s="179">
        <v>615</v>
      </c>
      <c r="C104" s="179">
        <v>1083</v>
      </c>
      <c r="D104" s="179">
        <v>351</v>
      </c>
      <c r="E104" s="175" t="s">
        <v>108</v>
      </c>
      <c r="F104" s="179">
        <v>410</v>
      </c>
      <c r="G104" s="179">
        <v>722</v>
      </c>
      <c r="H104" s="179">
        <v>234</v>
      </c>
      <c r="I104" s="175" t="s">
        <v>108</v>
      </c>
    </row>
    <row r="105" spans="1:9">
      <c r="A105" s="175" t="s">
        <v>316</v>
      </c>
      <c r="B105" s="179">
        <f>B103*B104</f>
        <v>17988.75</v>
      </c>
      <c r="C105" s="179">
        <f>C103*C104</f>
        <v>21118.5</v>
      </c>
      <c r="D105" s="179">
        <f>D103*D104</f>
        <v>13689</v>
      </c>
      <c r="E105" s="179">
        <f>AVERAGE(B105:D105)</f>
        <v>17598.75</v>
      </c>
      <c r="F105" s="179">
        <f>F103*F104</f>
        <v>18450</v>
      </c>
      <c r="G105" s="179">
        <f>G103*G104</f>
        <v>21660</v>
      </c>
      <c r="H105" s="179">
        <f>H103*H104</f>
        <v>14040</v>
      </c>
      <c r="I105" s="179">
        <f>AVERAGE(F105:H105)</f>
        <v>18050</v>
      </c>
    </row>
    <row r="106" spans="1:9" ht="25.5">
      <c r="A106" s="171" t="s">
        <v>350</v>
      </c>
      <c r="B106" s="415">
        <f>I105-E105</f>
        <v>451.25</v>
      </c>
      <c r="C106" s="414"/>
      <c r="D106" s="414"/>
      <c r="E106" s="414"/>
      <c r="F106" s="414"/>
      <c r="G106" s="414"/>
      <c r="H106" s="414"/>
      <c r="I106" s="414"/>
    </row>
    <row r="107" spans="1:9">
      <c r="A107" s="175" t="s">
        <v>315</v>
      </c>
      <c r="B107" s="179">
        <v>11473.8</v>
      </c>
      <c r="C107" s="179">
        <v>8151.8</v>
      </c>
      <c r="D107" s="179">
        <v>10413.799999999999</v>
      </c>
      <c r="E107" s="179">
        <f>AVERAGE(B107:D107)</f>
        <v>10013.133333333333</v>
      </c>
      <c r="F107" s="179">
        <v>9975</v>
      </c>
      <c r="G107" s="179">
        <v>6998</v>
      </c>
      <c r="H107" s="179">
        <v>10167</v>
      </c>
      <c r="I107" s="179">
        <f>AVERAGE(F107:H107)</f>
        <v>9046.6666666666661</v>
      </c>
    </row>
    <row r="108" spans="1:9" ht="38.25">
      <c r="A108" s="181" t="s">
        <v>351</v>
      </c>
      <c r="B108" s="415">
        <f>E107-I107</f>
        <v>966.46666666666715</v>
      </c>
      <c r="C108" s="414"/>
      <c r="D108" s="414"/>
      <c r="E108" s="414"/>
      <c r="F108" s="414"/>
      <c r="G108" s="414"/>
      <c r="H108" s="414"/>
      <c r="I108" s="414"/>
    </row>
    <row r="109" spans="1:9">
      <c r="A109" s="178" t="s">
        <v>442</v>
      </c>
    </row>
    <row r="111" spans="1:9" ht="25.5">
      <c r="A111" s="416" t="s">
        <v>328</v>
      </c>
      <c r="B111" s="416"/>
      <c r="C111" s="185" t="s">
        <v>233</v>
      </c>
      <c r="D111" s="185" t="s">
        <v>205</v>
      </c>
    </row>
    <row r="112" spans="1:9">
      <c r="A112" s="414" t="s">
        <v>209</v>
      </c>
      <c r="B112" s="414"/>
      <c r="C112" s="189">
        <v>8.5</v>
      </c>
      <c r="D112" s="179">
        <v>10</v>
      </c>
    </row>
    <row r="113" spans="1:7">
      <c r="A113" s="414" t="s">
        <v>317</v>
      </c>
      <c r="B113" s="414"/>
      <c r="C113" s="179">
        <v>247.25</v>
      </c>
      <c r="D113" s="179">
        <v>215</v>
      </c>
    </row>
    <row r="114" spans="1:7">
      <c r="A114" s="414" t="s">
        <v>316</v>
      </c>
      <c r="B114" s="414"/>
      <c r="C114" s="179">
        <f>C112*C113</f>
        <v>2101.625</v>
      </c>
      <c r="D114" s="179">
        <f>D112*D113</f>
        <v>2150</v>
      </c>
    </row>
    <row r="115" spans="1:7">
      <c r="A115" s="406" t="s">
        <v>350</v>
      </c>
      <c r="B115" s="407"/>
      <c r="C115" s="415">
        <f>D114-C114</f>
        <v>48.375</v>
      </c>
      <c r="D115" s="415"/>
    </row>
    <row r="116" spans="1:7">
      <c r="A116" s="406" t="s">
        <v>208</v>
      </c>
      <c r="B116" s="407"/>
      <c r="C116" s="175">
        <v>2005</v>
      </c>
      <c r="D116" s="175">
        <v>1395</v>
      </c>
    </row>
    <row r="117" spans="1:7">
      <c r="A117" s="406" t="s">
        <v>351</v>
      </c>
      <c r="B117" s="407"/>
      <c r="C117" s="415">
        <f>C116-D116</f>
        <v>610</v>
      </c>
      <c r="D117" s="415"/>
    </row>
    <row r="118" spans="1:7">
      <c r="A118" s="178" t="s">
        <v>442</v>
      </c>
    </row>
    <row r="120" spans="1:7">
      <c r="A120" s="403" t="s">
        <v>329</v>
      </c>
      <c r="B120" s="403"/>
      <c r="C120" s="403"/>
      <c r="D120" s="403"/>
      <c r="E120" s="403"/>
    </row>
    <row r="121" spans="1:7" ht="63.75">
      <c r="A121" s="170" t="s">
        <v>220</v>
      </c>
      <c r="B121" s="185" t="s">
        <v>443</v>
      </c>
      <c r="C121" s="185" t="s">
        <v>352</v>
      </c>
      <c r="D121" s="185" t="s">
        <v>353</v>
      </c>
      <c r="E121" s="185" t="s">
        <v>354</v>
      </c>
      <c r="F121" s="183"/>
      <c r="G121" s="183"/>
    </row>
    <row r="122" spans="1:7">
      <c r="A122" s="175" t="s">
        <v>221</v>
      </c>
      <c r="B122" s="175">
        <v>-8.8000000000000007</v>
      </c>
      <c r="C122" s="175">
        <v>70</v>
      </c>
      <c r="D122" s="175">
        <f>SUM(B122:C122)</f>
        <v>61.2</v>
      </c>
      <c r="E122" s="175">
        <f>33*D122</f>
        <v>2019.6000000000001</v>
      </c>
    </row>
    <row r="123" spans="1:7">
      <c r="A123" s="175" t="s">
        <v>222</v>
      </c>
      <c r="B123" s="175">
        <v>-5.7</v>
      </c>
      <c r="C123" s="175">
        <v>74.599999999999994</v>
      </c>
      <c r="D123" s="175">
        <f>SUM(B123:C123)</f>
        <v>68.899999999999991</v>
      </c>
      <c r="E123" s="175">
        <f>33*D123</f>
        <v>2273.6999999999998</v>
      </c>
    </row>
    <row r="125" spans="1:7" ht="66.75" customHeight="1">
      <c r="A125" s="427" t="s">
        <v>223</v>
      </c>
      <c r="B125" s="427"/>
      <c r="C125" s="427"/>
      <c r="D125" s="427"/>
      <c r="E125" s="427"/>
      <c r="F125" s="427"/>
      <c r="G125" s="427"/>
    </row>
    <row r="126" spans="1:7" ht="75.75" customHeight="1">
      <c r="A126" s="427" t="s">
        <v>449</v>
      </c>
      <c r="B126" s="427"/>
      <c r="C126" s="427"/>
      <c r="D126" s="427"/>
      <c r="E126" s="427"/>
      <c r="F126" s="427"/>
      <c r="G126" s="427"/>
    </row>
    <row r="127" spans="1:7" ht="16.5" customHeight="1">
      <c r="A127" s="432" t="s">
        <v>224</v>
      </c>
      <c r="B127" s="432"/>
      <c r="C127" s="432"/>
      <c r="D127" s="432"/>
      <c r="E127" s="432"/>
      <c r="F127" s="432"/>
      <c r="G127" s="432"/>
    </row>
    <row r="129" spans="1:10">
      <c r="A129" s="172" t="s">
        <v>330</v>
      </c>
      <c r="B129" s="172"/>
      <c r="C129" s="172"/>
      <c r="D129" s="172"/>
      <c r="E129" s="172"/>
      <c r="F129" s="172"/>
      <c r="G129" s="172"/>
      <c r="H129" s="172"/>
      <c r="I129" s="172"/>
    </row>
    <row r="130" spans="1:10">
      <c r="A130" s="172" t="s">
        <v>225</v>
      </c>
      <c r="B130" s="184"/>
      <c r="C130" s="184"/>
      <c r="D130" s="184"/>
      <c r="E130" s="184"/>
    </row>
    <row r="131" spans="1:10">
      <c r="A131" s="416" t="s">
        <v>226</v>
      </c>
      <c r="B131" s="423" t="s">
        <v>337</v>
      </c>
      <c r="C131" s="423"/>
      <c r="D131" s="423"/>
      <c r="E131" s="423"/>
      <c r="F131" s="423" t="s">
        <v>355</v>
      </c>
      <c r="G131" s="423"/>
      <c r="H131" s="423"/>
      <c r="I131" s="423"/>
      <c r="J131" s="183"/>
    </row>
    <row r="132" spans="1:10" ht="25.5">
      <c r="A132" s="416"/>
      <c r="B132" s="185" t="s">
        <v>331</v>
      </c>
      <c r="C132" s="185" t="s">
        <v>332</v>
      </c>
      <c r="D132" s="185" t="s">
        <v>336</v>
      </c>
      <c r="E132" s="185" t="s">
        <v>333</v>
      </c>
      <c r="F132" s="185" t="s">
        <v>331</v>
      </c>
      <c r="G132" s="185" t="s">
        <v>332</v>
      </c>
      <c r="H132" s="185" t="s">
        <v>336</v>
      </c>
      <c r="I132" s="185" t="s">
        <v>333</v>
      </c>
      <c r="J132" s="183"/>
    </row>
    <row r="133" spans="1:10">
      <c r="A133" s="175" t="s">
        <v>334</v>
      </c>
      <c r="B133" s="175">
        <v>122</v>
      </c>
      <c r="C133" s="175">
        <v>200</v>
      </c>
      <c r="D133" s="175">
        <v>0.88</v>
      </c>
      <c r="E133" s="175">
        <f>(C133*D133)*B133</f>
        <v>21472</v>
      </c>
      <c r="F133" s="175">
        <v>122</v>
      </c>
      <c r="G133" s="175">
        <v>170</v>
      </c>
      <c r="H133" s="175">
        <v>1.32</v>
      </c>
      <c r="I133" s="179">
        <f>(G133*H133)*F133</f>
        <v>27376.799999999999</v>
      </c>
    </row>
    <row r="134" spans="1:10">
      <c r="A134" s="175" t="s">
        <v>335</v>
      </c>
      <c r="B134" s="175">
        <v>175</v>
      </c>
      <c r="C134" s="175">
        <v>33</v>
      </c>
      <c r="D134" s="175">
        <v>3.41</v>
      </c>
      <c r="E134" s="179">
        <f>(C134*D134)*B134</f>
        <v>19692.75</v>
      </c>
      <c r="F134" s="175">
        <v>175</v>
      </c>
      <c r="G134" s="175">
        <v>26</v>
      </c>
      <c r="H134" s="175">
        <v>3.41</v>
      </c>
      <c r="I134" s="179">
        <f>(G134*H134)*F134</f>
        <v>15515.5</v>
      </c>
    </row>
    <row r="135" spans="1:10">
      <c r="A135" s="175" t="s">
        <v>338</v>
      </c>
      <c r="B135" s="175">
        <v>26</v>
      </c>
      <c r="C135" s="175">
        <v>34</v>
      </c>
      <c r="D135" s="177">
        <v>3.9</v>
      </c>
      <c r="E135" s="179">
        <f>(C135*D135)*B135</f>
        <v>3447.6</v>
      </c>
      <c r="F135" s="175">
        <v>26</v>
      </c>
      <c r="G135" s="175">
        <v>30</v>
      </c>
      <c r="H135" s="177">
        <v>3.9</v>
      </c>
      <c r="I135" s="179">
        <f>(G135*H135)*F135</f>
        <v>3042</v>
      </c>
    </row>
    <row r="136" spans="1:10">
      <c r="A136" s="175" t="s">
        <v>227</v>
      </c>
      <c r="B136" s="175"/>
      <c r="C136" s="175">
        <v>150</v>
      </c>
      <c r="D136" s="177">
        <v>3.5</v>
      </c>
      <c r="E136" s="179">
        <f>(C136*D136)</f>
        <v>525</v>
      </c>
      <c r="F136" s="175"/>
      <c r="G136" s="175">
        <v>150</v>
      </c>
      <c r="H136" s="177">
        <v>3.5</v>
      </c>
      <c r="I136" s="179">
        <f>(G136*H136)</f>
        <v>525</v>
      </c>
    </row>
    <row r="137" spans="1:10">
      <c r="A137" s="170" t="s">
        <v>228</v>
      </c>
      <c r="B137" s="424">
        <f>SUM(E133:E136)</f>
        <v>45137.35</v>
      </c>
      <c r="C137" s="424"/>
      <c r="D137" s="424"/>
      <c r="E137" s="424"/>
      <c r="F137" s="424">
        <f>SUM(I133:I136)</f>
        <v>46459.3</v>
      </c>
      <c r="G137" s="424"/>
      <c r="H137" s="424"/>
      <c r="I137" s="424"/>
    </row>
    <row r="138" spans="1:10" ht="26.25" customHeight="1">
      <c r="A138" s="171" t="s">
        <v>340</v>
      </c>
      <c r="B138" s="424">
        <f>B137-F137</f>
        <v>-1321.9500000000044</v>
      </c>
      <c r="C138" s="416"/>
      <c r="D138" s="416"/>
      <c r="E138" s="416"/>
      <c r="F138" s="416"/>
      <c r="G138" s="416"/>
      <c r="H138" s="416"/>
      <c r="I138" s="416"/>
    </row>
    <row r="139" spans="1:10" ht="31.5" customHeight="1">
      <c r="A139" s="171" t="s">
        <v>341</v>
      </c>
      <c r="B139" s="426">
        <f>B138/150</f>
        <v>-8.813000000000029</v>
      </c>
      <c r="C139" s="426"/>
      <c r="D139" s="426"/>
      <c r="E139" s="426"/>
      <c r="F139" s="426"/>
      <c r="G139" s="426"/>
      <c r="H139" s="426"/>
      <c r="I139" s="426"/>
    </row>
    <row r="140" spans="1:10">
      <c r="A140" s="175" t="s">
        <v>342</v>
      </c>
      <c r="B140" s="424">
        <v>20976</v>
      </c>
      <c r="C140" s="424"/>
      <c r="D140" s="424"/>
      <c r="E140" s="424"/>
      <c r="F140" s="424">
        <v>31464</v>
      </c>
      <c r="G140" s="424"/>
      <c r="H140" s="424"/>
      <c r="I140" s="424"/>
    </row>
    <row r="141" spans="1:10" ht="25.5">
      <c r="A141" s="171" t="s">
        <v>343</v>
      </c>
      <c r="B141" s="425">
        <f>F140-B140</f>
        <v>10488</v>
      </c>
      <c r="C141" s="423"/>
      <c r="D141" s="423"/>
      <c r="E141" s="423"/>
      <c r="F141" s="423"/>
      <c r="G141" s="423"/>
      <c r="H141" s="423"/>
      <c r="I141" s="423"/>
    </row>
    <row r="142" spans="1:10" ht="25.5">
      <c r="A142" s="171" t="s">
        <v>344</v>
      </c>
      <c r="B142" s="425">
        <f>B141/150</f>
        <v>69.92</v>
      </c>
      <c r="C142" s="423"/>
      <c r="D142" s="423"/>
      <c r="E142" s="423"/>
      <c r="F142" s="423"/>
      <c r="G142" s="423"/>
      <c r="H142" s="423"/>
      <c r="I142" s="423"/>
    </row>
    <row r="143" spans="1:10" ht="9" customHeight="1"/>
    <row r="144" spans="1:10">
      <c r="A144" s="172" t="s">
        <v>345</v>
      </c>
    </row>
    <row r="145" spans="1:9">
      <c r="A145" s="172" t="s">
        <v>229</v>
      </c>
    </row>
    <row r="146" spans="1:9">
      <c r="A146" s="416" t="s">
        <v>226</v>
      </c>
      <c r="B146" s="423" t="s">
        <v>337</v>
      </c>
      <c r="C146" s="423"/>
      <c r="D146" s="423"/>
      <c r="E146" s="423"/>
      <c r="F146" s="423" t="s">
        <v>355</v>
      </c>
      <c r="G146" s="423"/>
      <c r="H146" s="423"/>
      <c r="I146" s="423"/>
    </row>
    <row r="147" spans="1:9" ht="25.5">
      <c r="A147" s="416"/>
      <c r="B147" s="185" t="s">
        <v>331</v>
      </c>
      <c r="C147" s="185" t="s">
        <v>332</v>
      </c>
      <c r="D147" s="185" t="s">
        <v>336</v>
      </c>
      <c r="E147" s="185" t="s">
        <v>333</v>
      </c>
      <c r="F147" s="185" t="s">
        <v>331</v>
      </c>
      <c r="G147" s="185" t="s">
        <v>332</v>
      </c>
      <c r="H147" s="185" t="s">
        <v>336</v>
      </c>
      <c r="I147" s="185" t="s">
        <v>333</v>
      </c>
    </row>
    <row r="148" spans="1:9">
      <c r="A148" s="175" t="s">
        <v>334</v>
      </c>
      <c r="B148" s="175">
        <v>123</v>
      </c>
      <c r="C148" s="175">
        <v>300</v>
      </c>
      <c r="D148" s="175">
        <v>0.49</v>
      </c>
      <c r="E148" s="175">
        <f>(C148*D148)*B148</f>
        <v>18081</v>
      </c>
      <c r="F148" s="175">
        <v>123</v>
      </c>
      <c r="G148" s="175">
        <v>255</v>
      </c>
      <c r="H148" s="175">
        <v>0.73</v>
      </c>
      <c r="I148" s="179">
        <f>(G148*H148)*F148</f>
        <v>22896.45</v>
      </c>
    </row>
    <row r="149" spans="1:9">
      <c r="A149" s="175" t="s">
        <v>346</v>
      </c>
      <c r="B149" s="175">
        <v>173</v>
      </c>
      <c r="C149" s="175">
        <v>32</v>
      </c>
      <c r="D149" s="177">
        <v>3.4</v>
      </c>
      <c r="E149" s="179">
        <f>(C149*D149)*B149</f>
        <v>18822.399999999998</v>
      </c>
      <c r="F149" s="175">
        <v>173</v>
      </c>
      <c r="G149" s="175">
        <v>26</v>
      </c>
      <c r="H149" s="177">
        <v>3.4</v>
      </c>
      <c r="I149" s="179">
        <f>(G149*H149)*F149</f>
        <v>15293.199999999999</v>
      </c>
    </row>
    <row r="150" spans="1:9">
      <c r="A150" s="175" t="s">
        <v>347</v>
      </c>
      <c r="B150" s="175">
        <v>28</v>
      </c>
      <c r="C150" s="175">
        <v>34</v>
      </c>
      <c r="D150" s="177">
        <v>3.9</v>
      </c>
      <c r="E150" s="179">
        <f>(C150*D150)*B150</f>
        <v>3712.7999999999997</v>
      </c>
      <c r="F150" s="175">
        <v>28</v>
      </c>
      <c r="G150" s="175">
        <v>30</v>
      </c>
      <c r="H150" s="177">
        <v>3.9</v>
      </c>
      <c r="I150" s="179">
        <f>(G150*H150)*F150</f>
        <v>3276</v>
      </c>
    </row>
    <row r="151" spans="1:9">
      <c r="A151" s="175" t="s">
        <v>230</v>
      </c>
      <c r="B151" s="175"/>
      <c r="C151" s="175">
        <v>150</v>
      </c>
      <c r="D151" s="175">
        <v>1.95</v>
      </c>
      <c r="E151" s="179">
        <f>(C151*D151)</f>
        <v>292.5</v>
      </c>
      <c r="F151" s="175"/>
      <c r="G151" s="175">
        <v>150</v>
      </c>
      <c r="H151" s="175">
        <v>1.95</v>
      </c>
      <c r="I151" s="179">
        <f>(G151*H151)</f>
        <v>292.5</v>
      </c>
    </row>
    <row r="152" spans="1:9">
      <c r="A152" s="175" t="s">
        <v>228</v>
      </c>
      <c r="B152" s="424">
        <f>SUM(E148:E151)</f>
        <v>40908.699999999997</v>
      </c>
      <c r="C152" s="424"/>
      <c r="D152" s="424"/>
      <c r="E152" s="424"/>
      <c r="F152" s="424">
        <f>SUM(I148:I151)</f>
        <v>41758.15</v>
      </c>
      <c r="G152" s="424"/>
      <c r="H152" s="424"/>
      <c r="I152" s="424"/>
    </row>
    <row r="153" spans="1:9" ht="24.75" customHeight="1">
      <c r="A153" s="171" t="s">
        <v>340</v>
      </c>
      <c r="B153" s="424">
        <f>B152-F152</f>
        <v>-849.45000000000437</v>
      </c>
      <c r="C153" s="416"/>
      <c r="D153" s="416"/>
      <c r="E153" s="416"/>
      <c r="F153" s="416"/>
      <c r="G153" s="416"/>
      <c r="H153" s="416"/>
      <c r="I153" s="416"/>
    </row>
    <row r="154" spans="1:9">
      <c r="A154" s="175" t="s">
        <v>348</v>
      </c>
      <c r="B154" s="426">
        <f>B153/150</f>
        <v>-5.6630000000000287</v>
      </c>
      <c r="C154" s="426"/>
      <c r="D154" s="426"/>
      <c r="E154" s="426"/>
      <c r="F154" s="426"/>
      <c r="G154" s="426"/>
      <c r="H154" s="426"/>
      <c r="I154" s="426"/>
    </row>
    <row r="155" spans="1:9">
      <c r="A155" s="175" t="s">
        <v>342</v>
      </c>
      <c r="B155" s="424">
        <v>22392</v>
      </c>
      <c r="C155" s="424"/>
      <c r="D155" s="424"/>
      <c r="E155" s="424"/>
      <c r="F155" s="424">
        <v>33588</v>
      </c>
      <c r="G155" s="424"/>
      <c r="H155" s="424"/>
      <c r="I155" s="424"/>
    </row>
    <row r="156" spans="1:9" ht="25.5">
      <c r="A156" s="171" t="s">
        <v>343</v>
      </c>
      <c r="B156" s="425">
        <f>F155-B155</f>
        <v>11196</v>
      </c>
      <c r="C156" s="423"/>
      <c r="D156" s="423"/>
      <c r="E156" s="423"/>
      <c r="F156" s="423"/>
      <c r="G156" s="423"/>
      <c r="H156" s="423"/>
      <c r="I156" s="423"/>
    </row>
    <row r="157" spans="1:9" ht="25.5">
      <c r="A157" s="171" t="s">
        <v>360</v>
      </c>
      <c r="B157" s="425">
        <f>B156/150</f>
        <v>74.64</v>
      </c>
      <c r="C157" s="425"/>
      <c r="D157" s="425"/>
      <c r="E157" s="425"/>
      <c r="F157" s="425"/>
      <c r="G157" s="425"/>
      <c r="H157" s="425"/>
      <c r="I157" s="425"/>
    </row>
  </sheetData>
  <mergeCells count="136">
    <mergeCell ref="B156:I156"/>
    <mergeCell ref="B157:I157"/>
    <mergeCell ref="B152:E152"/>
    <mergeCell ref="F152:I152"/>
    <mergeCell ref="B153:I153"/>
    <mergeCell ref="B154:I154"/>
    <mergeCell ref="B155:E155"/>
    <mergeCell ref="F155:I155"/>
    <mergeCell ref="B139:I139"/>
    <mergeCell ref="B140:E140"/>
    <mergeCell ref="F140:I140"/>
    <mergeCell ref="B141:I141"/>
    <mergeCell ref="B142:I142"/>
    <mergeCell ref="A146:A147"/>
    <mergeCell ref="B146:E146"/>
    <mergeCell ref="F146:I146"/>
    <mergeCell ref="A131:A132"/>
    <mergeCell ref="B131:E131"/>
    <mergeCell ref="F131:I131"/>
    <mergeCell ref="B137:E137"/>
    <mergeCell ref="F137:I137"/>
    <mergeCell ref="B138:I138"/>
    <mergeCell ref="A117:B117"/>
    <mergeCell ref="C117:D117"/>
    <mergeCell ref="A120:E120"/>
    <mergeCell ref="A125:G125"/>
    <mergeCell ref="A126:G126"/>
    <mergeCell ref="A127:G127"/>
    <mergeCell ref="A112:B112"/>
    <mergeCell ref="A113:B113"/>
    <mergeCell ref="A114:B114"/>
    <mergeCell ref="A115:B115"/>
    <mergeCell ref="C115:D115"/>
    <mergeCell ref="A116:B116"/>
    <mergeCell ref="A101:A102"/>
    <mergeCell ref="B101:E101"/>
    <mergeCell ref="F101:I101"/>
    <mergeCell ref="B106:I106"/>
    <mergeCell ref="B108:I108"/>
    <mergeCell ref="A111:B111"/>
    <mergeCell ref="A94:B94"/>
    <mergeCell ref="A95:B95"/>
    <mergeCell ref="A96:B96"/>
    <mergeCell ref="C96:D96"/>
    <mergeCell ref="A97:B97"/>
    <mergeCell ref="A98:B98"/>
    <mergeCell ref="C98:D98"/>
    <mergeCell ref="B83:C83"/>
    <mergeCell ref="B84:G84"/>
    <mergeCell ref="B85:C85"/>
    <mergeCell ref="B86:G86"/>
    <mergeCell ref="A92:B92"/>
    <mergeCell ref="A93:B93"/>
    <mergeCell ref="A79:A80"/>
    <mergeCell ref="C79:C80"/>
    <mergeCell ref="E79:E80"/>
    <mergeCell ref="F79:F80"/>
    <mergeCell ref="G79:G80"/>
    <mergeCell ref="A81:A82"/>
    <mergeCell ref="C81:C82"/>
    <mergeCell ref="E81:E82"/>
    <mergeCell ref="F81:F82"/>
    <mergeCell ref="G81:G82"/>
    <mergeCell ref="A73:B73"/>
    <mergeCell ref="A74:B74"/>
    <mergeCell ref="C74:D74"/>
    <mergeCell ref="A77:A78"/>
    <mergeCell ref="B77:C77"/>
    <mergeCell ref="D77:G77"/>
    <mergeCell ref="A68:B68"/>
    <mergeCell ref="A69:B69"/>
    <mergeCell ref="A70:B70"/>
    <mergeCell ref="A71:B71"/>
    <mergeCell ref="A72:B72"/>
    <mergeCell ref="C72:D72"/>
    <mergeCell ref="A62:B62"/>
    <mergeCell ref="A63:B63"/>
    <mergeCell ref="C63:D63"/>
    <mergeCell ref="A64:B64"/>
    <mergeCell ref="A65:B65"/>
    <mergeCell ref="C65:D65"/>
    <mergeCell ref="A54:B54"/>
    <mergeCell ref="A55:B55"/>
    <mergeCell ref="C55:D55"/>
    <mergeCell ref="A59:B59"/>
    <mergeCell ref="A60:B60"/>
    <mergeCell ref="A61:B61"/>
    <mergeCell ref="A51:B51"/>
    <mergeCell ref="A52:B52"/>
    <mergeCell ref="A53:B53"/>
    <mergeCell ref="C53:D53"/>
    <mergeCell ref="A43:B43"/>
    <mergeCell ref="A44:B44"/>
    <mergeCell ref="C44:D44"/>
    <mergeCell ref="A45:B45"/>
    <mergeCell ref="A46:B46"/>
    <mergeCell ref="C46:D46"/>
    <mergeCell ref="A42:B42"/>
    <mergeCell ref="A31:B31"/>
    <mergeCell ref="A32:B32"/>
    <mergeCell ref="A33:B33"/>
    <mergeCell ref="A34:B34"/>
    <mergeCell ref="A35:B35"/>
    <mergeCell ref="C35:D35"/>
    <mergeCell ref="A49:B49"/>
    <mergeCell ref="A50:B50"/>
    <mergeCell ref="A40:B40"/>
    <mergeCell ref="A41:B41"/>
    <mergeCell ref="A20:B20"/>
    <mergeCell ref="A36:B36"/>
    <mergeCell ref="A37:B37"/>
    <mergeCell ref="C37:D37"/>
    <mergeCell ref="A28:G28"/>
    <mergeCell ref="A21:A23"/>
    <mergeCell ref="D21:D23"/>
    <mergeCell ref="E21:E23"/>
    <mergeCell ref="F21:F23"/>
    <mergeCell ref="G21:G23"/>
    <mergeCell ref="A24:B24"/>
    <mergeCell ref="A5:G5"/>
    <mergeCell ref="A6:G6"/>
    <mergeCell ref="A7:G7"/>
    <mergeCell ref="A8:G8"/>
    <mergeCell ref="A9:G9"/>
    <mergeCell ref="A11:G11"/>
    <mergeCell ref="A18:A19"/>
    <mergeCell ref="D18:D19"/>
    <mergeCell ref="E18:E19"/>
    <mergeCell ref="F18:F19"/>
    <mergeCell ref="G18:G19"/>
    <mergeCell ref="A12:B12"/>
    <mergeCell ref="A13:B13"/>
    <mergeCell ref="A14:B14"/>
    <mergeCell ref="A15:B15"/>
    <mergeCell ref="A16:B16"/>
    <mergeCell ref="A17:B17"/>
  </mergeCells>
  <pageMargins left="0.7" right="0.7" top="0.75" bottom="0.75" header="0.3" footer="0.3"/>
  <pageSetup paperSize="9" scale="96" fitToHeight="0" orientation="landscape" r:id="rId1"/>
</worksheet>
</file>

<file path=xl/worksheets/sheet24.xml><?xml version="1.0" encoding="utf-8"?>
<worksheet xmlns="http://schemas.openxmlformats.org/spreadsheetml/2006/main" xmlns:r="http://schemas.openxmlformats.org/officeDocument/2006/relationships">
  <sheetPr codeName="Sheet24">
    <tabColor rgb="FF92D050"/>
    <pageSetUpPr fitToPage="1"/>
  </sheetPr>
  <dimension ref="A1:E17"/>
  <sheetViews>
    <sheetView workbookViewId="0">
      <selection activeCell="H14" sqref="H14"/>
    </sheetView>
  </sheetViews>
  <sheetFormatPr defaultColWidth="9.140625" defaultRowHeight="12.75"/>
  <cols>
    <col min="1" max="1" width="26.28515625" style="190" customWidth="1"/>
    <col min="2" max="2" width="26.140625" style="190" customWidth="1"/>
    <col min="3" max="3" width="18.7109375" style="190" customWidth="1"/>
    <col min="4" max="4" width="14.7109375" style="190" customWidth="1"/>
    <col min="5" max="6" width="9.140625" style="190"/>
    <col min="7" max="7" width="15.42578125" style="190" bestFit="1" customWidth="1"/>
    <col min="8" max="8" width="33" style="190" customWidth="1"/>
    <col min="9" max="16384" width="9.140625" style="190"/>
  </cols>
  <sheetData>
    <row r="1" spans="1:5" ht="30" customHeight="1">
      <c r="A1" s="436" t="s">
        <v>256</v>
      </c>
      <c r="B1" s="436"/>
      <c r="C1" s="436"/>
      <c r="D1" s="436"/>
    </row>
    <row r="2" spans="1:5" ht="63.75">
      <c r="A2" s="191" t="s">
        <v>182</v>
      </c>
      <c r="B2" s="192" t="s">
        <v>183</v>
      </c>
      <c r="C2" s="192" t="s">
        <v>188</v>
      </c>
      <c r="D2" s="192" t="s">
        <v>184</v>
      </c>
    </row>
    <row r="3" spans="1:5" ht="46.5" customHeight="1">
      <c r="A3" s="193" t="s">
        <v>185</v>
      </c>
      <c r="B3" s="194">
        <v>1700</v>
      </c>
      <c r="C3" s="195">
        <v>0.1</v>
      </c>
      <c r="D3" s="194">
        <v>170</v>
      </c>
    </row>
    <row r="4" spans="1:5" ht="46.5" customHeight="1">
      <c r="A4" s="193" t="s">
        <v>186</v>
      </c>
      <c r="B4" s="194">
        <v>4500</v>
      </c>
      <c r="C4" s="195">
        <v>0.1</v>
      </c>
      <c r="D4" s="194">
        <v>450</v>
      </c>
      <c r="E4" s="196"/>
    </row>
    <row r="5" spans="1:5" ht="57" customHeight="1">
      <c r="A5" s="197" t="s">
        <v>187</v>
      </c>
      <c r="B5" s="198">
        <v>14000</v>
      </c>
      <c r="C5" s="199">
        <v>0.1</v>
      </c>
      <c r="D5" s="198">
        <v>1400</v>
      </c>
    </row>
    <row r="6" spans="1:5" ht="46.5" customHeight="1">
      <c r="A6" s="193" t="s">
        <v>356</v>
      </c>
      <c r="B6" s="194">
        <v>300</v>
      </c>
      <c r="C6" s="195">
        <v>0.1</v>
      </c>
      <c r="D6" s="194">
        <v>30</v>
      </c>
    </row>
    <row r="7" spans="1:5" ht="46.5" customHeight="1">
      <c r="A7" s="200"/>
      <c r="B7" s="201"/>
      <c r="C7" s="202"/>
      <c r="D7" s="201"/>
    </row>
    <row r="8" spans="1:5" ht="46.5" customHeight="1">
      <c r="A8" s="192"/>
      <c r="B8" s="192" t="s">
        <v>177</v>
      </c>
      <c r="C8" s="192" t="s">
        <v>273</v>
      </c>
      <c r="D8" s="201"/>
    </row>
    <row r="9" spans="1:5" ht="46.5" customHeight="1">
      <c r="A9" s="434" t="s">
        <v>191</v>
      </c>
      <c r="B9" s="193" t="s">
        <v>192</v>
      </c>
      <c r="C9" s="203">
        <v>162.41</v>
      </c>
      <c r="D9" s="201"/>
    </row>
    <row r="10" spans="1:5" ht="46.5" customHeight="1">
      <c r="A10" s="435"/>
      <c r="B10" s="204" t="s">
        <v>193</v>
      </c>
      <c r="C10" s="203">
        <v>80</v>
      </c>
      <c r="D10" s="201"/>
    </row>
    <row r="11" spans="1:5" ht="38.25">
      <c r="A11" s="192" t="s">
        <v>194</v>
      </c>
      <c r="B11" s="193" t="s">
        <v>192</v>
      </c>
      <c r="C11" s="203">
        <v>162.41</v>
      </c>
    </row>
    <row r="12" spans="1:5" ht="32.25" customHeight="1">
      <c r="A12" s="325" t="s">
        <v>189</v>
      </c>
      <c r="B12" s="325"/>
      <c r="C12" s="325"/>
      <c r="D12" s="325"/>
    </row>
    <row r="13" spans="1:5" ht="27.75" customHeight="1">
      <c r="A13" s="325" t="s">
        <v>190</v>
      </c>
      <c r="B13" s="325"/>
      <c r="C13" s="325"/>
      <c r="D13" s="325"/>
    </row>
    <row r="14" spans="1:5" ht="42.75" customHeight="1">
      <c r="A14" s="433" t="s">
        <v>196</v>
      </c>
      <c r="B14" s="433"/>
      <c r="C14" s="433"/>
      <c r="D14" s="433"/>
    </row>
    <row r="15" spans="1:5" ht="28.5" customHeight="1">
      <c r="A15" s="433" t="s">
        <v>195</v>
      </c>
      <c r="B15" s="433"/>
      <c r="C15" s="433"/>
      <c r="D15" s="433"/>
    </row>
    <row r="17" spans="1:1">
      <c r="A17" s="205"/>
    </row>
  </sheetData>
  <mergeCells count="6">
    <mergeCell ref="A15:D15"/>
    <mergeCell ref="A9:A10"/>
    <mergeCell ref="A12:D12"/>
    <mergeCell ref="A13:D13"/>
    <mergeCell ref="A1:D1"/>
    <mergeCell ref="A14:D14"/>
  </mergeCells>
  <pageMargins left="0.7" right="0.7" top="0.75" bottom="0.75" header="0.3" footer="0.3"/>
  <pageSetup paperSize="9" scale="92" orientation="portrait" r:id="rId1"/>
</worksheet>
</file>

<file path=xl/worksheets/sheet25.xml><?xml version="1.0" encoding="utf-8"?>
<worksheet xmlns="http://schemas.openxmlformats.org/spreadsheetml/2006/main" xmlns:r="http://schemas.openxmlformats.org/officeDocument/2006/relationships">
  <sheetPr codeName="Sheet25">
    <tabColor rgb="FF92D050"/>
  </sheetPr>
  <dimension ref="A1:H10"/>
  <sheetViews>
    <sheetView workbookViewId="0">
      <selection activeCell="A5" sqref="A5:H5"/>
    </sheetView>
  </sheetViews>
  <sheetFormatPr defaultColWidth="9.140625" defaultRowHeight="15"/>
  <cols>
    <col min="1" max="1" width="12.7109375" style="92" customWidth="1"/>
    <col min="2" max="2" width="18.7109375" style="92" customWidth="1"/>
    <col min="3" max="3" width="12" style="92" customWidth="1"/>
    <col min="4" max="4" width="12.140625" style="92" customWidth="1"/>
    <col min="5" max="5" width="16.5703125" style="92" customWidth="1"/>
    <col min="6" max="6" width="15" style="92" customWidth="1"/>
    <col min="7" max="16384" width="9.140625" style="92"/>
  </cols>
  <sheetData>
    <row r="1" spans="1:8">
      <c r="A1" s="2" t="s">
        <v>358</v>
      </c>
    </row>
    <row r="2" spans="1:8" ht="141.75" customHeight="1">
      <c r="A2" s="437" t="s">
        <v>267</v>
      </c>
      <c r="B2" s="437"/>
      <c r="C2" s="437"/>
      <c r="D2" s="437"/>
      <c r="E2" s="437"/>
      <c r="F2" s="437"/>
      <c r="G2" s="437"/>
      <c r="H2" s="437"/>
    </row>
    <row r="3" spans="1:8" ht="49.5" customHeight="1">
      <c r="A3" s="437" t="s">
        <v>178</v>
      </c>
      <c r="B3" s="437"/>
      <c r="C3" s="437"/>
      <c r="D3" s="437"/>
      <c r="E3" s="437"/>
      <c r="F3" s="437"/>
      <c r="G3" s="437"/>
      <c r="H3" s="437"/>
    </row>
    <row r="4" spans="1:8" ht="66.75" customHeight="1">
      <c r="A4" s="437" t="s">
        <v>287</v>
      </c>
      <c r="B4" s="437"/>
      <c r="C4" s="437"/>
      <c r="D4" s="437"/>
      <c r="E4" s="437"/>
      <c r="F4" s="437"/>
      <c r="G4" s="437"/>
      <c r="H4" s="437"/>
    </row>
    <row r="5" spans="1:8" ht="37.5" customHeight="1">
      <c r="A5" s="438" t="s">
        <v>286</v>
      </c>
      <c r="B5" s="438"/>
      <c r="C5" s="438"/>
      <c r="D5" s="438"/>
      <c r="E5" s="438"/>
      <c r="F5" s="438"/>
      <c r="G5" s="438"/>
      <c r="H5" s="438"/>
    </row>
    <row r="6" spans="1:8" ht="75">
      <c r="A6" s="206" t="s">
        <v>269</v>
      </c>
      <c r="B6" s="206" t="s">
        <v>266</v>
      </c>
      <c r="C6" s="206" t="s">
        <v>265</v>
      </c>
      <c r="D6" s="206" t="s">
        <v>357</v>
      </c>
      <c r="E6" s="206" t="s">
        <v>268</v>
      </c>
      <c r="F6" s="206" t="s">
        <v>272</v>
      </c>
    </row>
    <row r="7" spans="1:8" ht="30">
      <c r="A7" s="207" t="s">
        <v>270</v>
      </c>
      <c r="B7" s="208">
        <v>1.3</v>
      </c>
      <c r="C7" s="207">
        <v>60</v>
      </c>
      <c r="D7" s="209">
        <v>0.1</v>
      </c>
      <c r="E7" s="207">
        <v>20</v>
      </c>
      <c r="F7" s="210">
        <v>156</v>
      </c>
    </row>
    <row r="8" spans="1:8" ht="30">
      <c r="A8" s="207" t="s">
        <v>271</v>
      </c>
      <c r="B8" s="208">
        <v>1.3</v>
      </c>
      <c r="C8" s="207">
        <v>60</v>
      </c>
      <c r="D8" s="209">
        <v>0.1</v>
      </c>
      <c r="E8" s="207">
        <v>20</v>
      </c>
      <c r="F8" s="210">
        <v>156</v>
      </c>
    </row>
    <row r="10" spans="1:8">
      <c r="A10" s="2" t="s">
        <v>197</v>
      </c>
    </row>
  </sheetData>
  <mergeCells count="4">
    <mergeCell ref="A2:H2"/>
    <mergeCell ref="A3:H3"/>
    <mergeCell ref="A4:H4"/>
    <mergeCell ref="A5:H5"/>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codeName="Sheet3">
    <tabColor rgb="FF92D050"/>
    <pageSetUpPr fitToPage="1"/>
  </sheetPr>
  <dimension ref="A1:E22"/>
  <sheetViews>
    <sheetView topLeftCell="A10" workbookViewId="0">
      <selection activeCell="E20" sqref="E20"/>
    </sheetView>
  </sheetViews>
  <sheetFormatPr defaultColWidth="9.140625" defaultRowHeight="15"/>
  <cols>
    <col min="1" max="1" width="9.140625" style="52"/>
    <col min="2" max="2" width="49.7109375" style="52" customWidth="1"/>
    <col min="3" max="3" width="19.140625" style="52" customWidth="1"/>
    <col min="4" max="16384" width="9.140625" style="52"/>
  </cols>
  <sheetData>
    <row r="1" spans="1:5">
      <c r="A1" s="51" t="s">
        <v>20</v>
      </c>
    </row>
    <row r="3" spans="1:5">
      <c r="A3" s="26" t="s">
        <v>1</v>
      </c>
      <c r="B3" s="235" t="s">
        <v>2</v>
      </c>
      <c r="C3" s="26" t="s">
        <v>143</v>
      </c>
    </row>
    <row r="4" spans="1:5">
      <c r="A4" s="26" t="s">
        <v>3</v>
      </c>
      <c r="B4" s="53" t="s">
        <v>4</v>
      </c>
      <c r="C4" s="26"/>
      <c r="E4" s="51"/>
    </row>
    <row r="5" spans="1:5" ht="45">
      <c r="A5" s="23" t="s">
        <v>5</v>
      </c>
      <c r="B5" s="236" t="s">
        <v>110</v>
      </c>
      <c r="C5" s="39">
        <f>3*6*4.5</f>
        <v>81</v>
      </c>
      <c r="E5" s="54"/>
    </row>
    <row r="6" spans="1:5" ht="45">
      <c r="A6" s="23" t="s">
        <v>6</v>
      </c>
      <c r="B6" s="236" t="s">
        <v>111</v>
      </c>
      <c r="C6" s="39">
        <f>3*20*0.74</f>
        <v>44.4</v>
      </c>
      <c r="E6" s="54"/>
    </row>
    <row r="7" spans="1:5" ht="45">
      <c r="A7" s="23" t="s">
        <v>7</v>
      </c>
      <c r="B7" s="236" t="s">
        <v>112</v>
      </c>
      <c r="C7" s="39">
        <f>((3*20)+(3*6))*6.85</f>
        <v>534.29999999999995</v>
      </c>
      <c r="E7" s="54"/>
    </row>
    <row r="8" spans="1:5">
      <c r="A8" s="23"/>
      <c r="B8" s="235" t="s">
        <v>10</v>
      </c>
      <c r="C8" s="41">
        <f>SUM(C4:C7)</f>
        <v>659.69999999999993</v>
      </c>
      <c r="E8" s="54"/>
    </row>
    <row r="9" spans="1:5">
      <c r="A9" s="26" t="s">
        <v>11</v>
      </c>
      <c r="B9" s="235" t="s">
        <v>12</v>
      </c>
      <c r="C9" s="39"/>
      <c r="E9" s="54"/>
    </row>
    <row r="10" spans="1:5">
      <c r="A10" s="23" t="s">
        <v>5</v>
      </c>
      <c r="B10" s="236" t="s">
        <v>459</v>
      </c>
      <c r="C10" s="38">
        <v>215.5</v>
      </c>
      <c r="E10" s="56"/>
    </row>
    <row r="11" spans="1:5" ht="75">
      <c r="A11" s="23" t="s">
        <v>6</v>
      </c>
      <c r="B11" s="236" t="s">
        <v>21</v>
      </c>
      <c r="C11" s="38">
        <v>14.01</v>
      </c>
      <c r="D11" s="61"/>
      <c r="E11" s="54"/>
    </row>
    <row r="12" spans="1:5" ht="30">
      <c r="A12" s="23" t="s">
        <v>7</v>
      </c>
      <c r="B12" s="236" t="s">
        <v>460</v>
      </c>
      <c r="C12" s="38">
        <v>130.1</v>
      </c>
      <c r="E12" s="54"/>
    </row>
    <row r="13" spans="1:5">
      <c r="A13" s="23"/>
      <c r="B13" s="237" t="s">
        <v>10</v>
      </c>
      <c r="C13" s="41">
        <f>SUM(C10:C12)</f>
        <v>359.61</v>
      </c>
      <c r="E13" s="54"/>
    </row>
    <row r="14" spans="1:5">
      <c r="A14" s="238"/>
      <c r="B14" s="235" t="s">
        <v>14</v>
      </c>
      <c r="C14" s="41">
        <f>C8-C13</f>
        <v>300.08999999999992</v>
      </c>
      <c r="E14" s="54"/>
    </row>
    <row r="15" spans="1:5">
      <c r="A15" s="239"/>
      <c r="B15" s="235" t="s">
        <v>15</v>
      </c>
      <c r="C15" s="59">
        <v>300</v>
      </c>
      <c r="E15" s="54"/>
    </row>
    <row r="16" spans="1:5">
      <c r="E16" s="54"/>
    </row>
    <row r="17" spans="1:5">
      <c r="A17" s="60" t="s">
        <v>19</v>
      </c>
      <c r="B17" s="52" t="s">
        <v>16</v>
      </c>
      <c r="E17" s="54"/>
    </row>
    <row r="18" spans="1:5">
      <c r="B18" s="52" t="s">
        <v>106</v>
      </c>
      <c r="C18" s="61">
        <f>0.2*1.2</f>
        <v>0.24</v>
      </c>
      <c r="E18" s="54"/>
    </row>
    <row r="19" spans="1:5">
      <c r="B19" s="52" t="s">
        <v>17</v>
      </c>
      <c r="C19" s="61">
        <f>0.5</f>
        <v>0.5</v>
      </c>
    </row>
    <row r="20" spans="1:5">
      <c r="B20" s="51" t="s">
        <v>18</v>
      </c>
      <c r="C20" s="62">
        <f>SUM(C18:C19)</f>
        <v>0.74</v>
      </c>
    </row>
    <row r="22" spans="1:5" ht="68.45" customHeight="1">
      <c r="B22" s="439" t="s">
        <v>515</v>
      </c>
      <c r="C22" s="440"/>
    </row>
  </sheetData>
  <mergeCells count="1">
    <mergeCell ref="B22:C22"/>
  </mergeCells>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sheetPr codeName="Sheet4">
    <tabColor rgb="FF92D050"/>
    <pageSetUpPr fitToPage="1"/>
  </sheetPr>
  <dimension ref="A1:H20"/>
  <sheetViews>
    <sheetView workbookViewId="0">
      <selection activeCell="I11" sqref="I11"/>
    </sheetView>
  </sheetViews>
  <sheetFormatPr defaultColWidth="9.140625" defaultRowHeight="12.75"/>
  <cols>
    <col min="1" max="1" width="9.140625" style="169"/>
    <col min="2" max="2" width="49.7109375" style="169" customWidth="1"/>
    <col min="3" max="3" width="17.7109375" style="169" customWidth="1"/>
    <col min="4" max="16384" width="9.140625" style="169"/>
  </cols>
  <sheetData>
    <row r="1" spans="1:8" ht="33.75" customHeight="1">
      <c r="A1" s="315" t="s">
        <v>23</v>
      </c>
      <c r="B1" s="315"/>
      <c r="C1" s="315"/>
    </row>
    <row r="3" spans="1:8">
      <c r="A3" s="212" t="s">
        <v>1</v>
      </c>
      <c r="B3" s="213" t="s">
        <v>2</v>
      </c>
      <c r="C3" s="212" t="s">
        <v>450</v>
      </c>
    </row>
    <row r="4" spans="1:8">
      <c r="A4" s="212" t="s">
        <v>3</v>
      </c>
      <c r="B4" s="214" t="s">
        <v>4</v>
      </c>
      <c r="C4" s="212"/>
    </row>
    <row r="5" spans="1:8" ht="38.25">
      <c r="A5" s="215" t="s">
        <v>5</v>
      </c>
      <c r="B5" s="216" t="s">
        <v>150</v>
      </c>
      <c r="C5" s="217">
        <f>2*3*7.6</f>
        <v>45.599999999999994</v>
      </c>
    </row>
    <row r="6" spans="1:8" ht="25.5">
      <c r="A6" s="215" t="s">
        <v>6</v>
      </c>
      <c r="B6" s="216" t="s">
        <v>451</v>
      </c>
      <c r="C6" s="217">
        <f>2*20*0.74</f>
        <v>29.6</v>
      </c>
    </row>
    <row r="7" spans="1:8" ht="25.5">
      <c r="A7" s="215" t="s">
        <v>7</v>
      </c>
      <c r="B7" s="216" t="s">
        <v>151</v>
      </c>
      <c r="C7" s="217">
        <f>2*23*6.85</f>
        <v>315.09999999999997</v>
      </c>
    </row>
    <row r="8" spans="1:8">
      <c r="A8" s="215"/>
      <c r="B8" s="213" t="s">
        <v>10</v>
      </c>
      <c r="C8" s="218">
        <f>SUM(C5:C7)</f>
        <v>390.29999999999995</v>
      </c>
    </row>
    <row r="9" spans="1:8">
      <c r="A9" s="212" t="s">
        <v>11</v>
      </c>
      <c r="B9" s="213" t="s">
        <v>12</v>
      </c>
      <c r="C9" s="217"/>
    </row>
    <row r="10" spans="1:8">
      <c r="A10" s="215" t="s">
        <v>5</v>
      </c>
      <c r="B10" s="219" t="s">
        <v>13</v>
      </c>
      <c r="C10" s="220">
        <v>55</v>
      </c>
    </row>
    <row r="11" spans="1:8" ht="25.5">
      <c r="A11" s="215" t="s">
        <v>6</v>
      </c>
      <c r="B11" s="216" t="s">
        <v>152</v>
      </c>
      <c r="C11" s="221">
        <f>4*6.04</f>
        <v>24.16</v>
      </c>
      <c r="F11" s="222"/>
      <c r="G11" s="222"/>
      <c r="H11" s="222"/>
    </row>
    <row r="12" spans="1:8" ht="25.5">
      <c r="A12" s="215" t="s">
        <v>7</v>
      </c>
      <c r="B12" s="216" t="s">
        <v>153</v>
      </c>
      <c r="C12" s="217">
        <f>4*6.85</f>
        <v>27.4</v>
      </c>
    </row>
    <row r="13" spans="1:8">
      <c r="A13" s="215"/>
      <c r="B13" s="223" t="s">
        <v>10</v>
      </c>
      <c r="C13" s="218">
        <f>SUM(C10:C12)</f>
        <v>106.56</v>
      </c>
    </row>
    <row r="14" spans="1:8">
      <c r="A14" s="224"/>
      <c r="B14" s="213" t="s">
        <v>14</v>
      </c>
      <c r="C14" s="225">
        <f>C8-C13</f>
        <v>283.73999999999995</v>
      </c>
    </row>
    <row r="15" spans="1:8">
      <c r="A15" s="226"/>
      <c r="B15" s="227" t="s">
        <v>15</v>
      </c>
      <c r="C15" s="228">
        <v>225</v>
      </c>
    </row>
    <row r="17" spans="1:3">
      <c r="A17" s="229" t="s">
        <v>19</v>
      </c>
      <c r="B17" s="169" t="s">
        <v>16</v>
      </c>
    </row>
    <row r="18" spans="1:3">
      <c r="B18" s="169" t="s">
        <v>106</v>
      </c>
      <c r="C18" s="222">
        <f>0.2*1.2</f>
        <v>0.24</v>
      </c>
    </row>
    <row r="19" spans="1:3">
      <c r="B19" s="169" t="s">
        <v>17</v>
      </c>
      <c r="C19" s="222">
        <f>0.5</f>
        <v>0.5</v>
      </c>
    </row>
    <row r="20" spans="1:3">
      <c r="B20" s="230" t="s">
        <v>18</v>
      </c>
      <c r="C20" s="231">
        <f>SUM(C18:C19)</f>
        <v>0.74</v>
      </c>
    </row>
  </sheetData>
  <mergeCells count="1">
    <mergeCell ref="A1:C1"/>
  </mergeCells>
  <pageMargins left="0.98425196850393704" right="0.98425196850393704" top="0.98425196850393704" bottom="0.98425196850393704" header="0.51181102362204722" footer="0.51181102362204722"/>
  <pageSetup paperSize="9" orientation="landscape" r:id="rId1"/>
</worksheet>
</file>

<file path=xl/worksheets/sheet5.xml><?xml version="1.0" encoding="utf-8"?>
<worksheet xmlns="http://schemas.openxmlformats.org/spreadsheetml/2006/main" xmlns:r="http://schemas.openxmlformats.org/officeDocument/2006/relationships">
  <sheetPr codeName="Sheet5">
    <tabColor rgb="FF92D050"/>
    <pageSetUpPr fitToPage="1"/>
  </sheetPr>
  <dimension ref="A1:K20"/>
  <sheetViews>
    <sheetView topLeftCell="A13" workbookViewId="0">
      <selection activeCell="L24" sqref="L24"/>
    </sheetView>
  </sheetViews>
  <sheetFormatPr defaultColWidth="9.140625" defaultRowHeight="15"/>
  <cols>
    <col min="1" max="1" width="9.140625" style="52"/>
    <col min="2" max="2" width="49.7109375" style="52" customWidth="1"/>
    <col min="3" max="3" width="17.7109375" style="52" customWidth="1"/>
    <col min="4" max="16384" width="9.140625" style="52"/>
  </cols>
  <sheetData>
    <row r="1" spans="1:11" ht="33" customHeight="1">
      <c r="A1" s="316" t="s">
        <v>24</v>
      </c>
      <c r="B1" s="316"/>
      <c r="C1" s="316"/>
    </row>
    <row r="2" spans="1:11">
      <c r="A2" s="26" t="s">
        <v>1</v>
      </c>
      <c r="B2" s="25" t="s">
        <v>2</v>
      </c>
      <c r="C2" s="26" t="s">
        <v>249</v>
      </c>
    </row>
    <row r="3" spans="1:11">
      <c r="A3" s="26" t="s">
        <v>3</v>
      </c>
      <c r="B3" s="53" t="s">
        <v>4</v>
      </c>
      <c r="C3" s="26"/>
      <c r="E3" s="51"/>
    </row>
    <row r="4" spans="1:11" ht="45">
      <c r="A4" s="23" t="s">
        <v>5</v>
      </c>
      <c r="B4" s="24" t="s">
        <v>154</v>
      </c>
      <c r="C4" s="39">
        <f>(2*12)*5.25</f>
        <v>126</v>
      </c>
      <c r="E4" s="54"/>
    </row>
    <row r="5" spans="1:11" ht="46.5" customHeight="1">
      <c r="A5" s="23" t="s">
        <v>6</v>
      </c>
      <c r="B5" s="24" t="s">
        <v>289</v>
      </c>
      <c r="C5" s="39">
        <f>(20*0.74)+(13.2*0.74)</f>
        <v>24.567999999999998</v>
      </c>
      <c r="E5" s="54"/>
    </row>
    <row r="6" spans="1:11" ht="60">
      <c r="A6" s="23" t="s">
        <v>7</v>
      </c>
      <c r="B6" s="24" t="s">
        <v>290</v>
      </c>
      <c r="C6" s="39">
        <f>((2*12)*6.85)+((1*20)*6.85)+((1*13.2)*6.85)</f>
        <v>391.81999999999994</v>
      </c>
      <c r="E6" s="54"/>
    </row>
    <row r="7" spans="1:11">
      <c r="A7" s="23"/>
      <c r="B7" s="25" t="s">
        <v>10</v>
      </c>
      <c r="C7" s="41">
        <f>SUM(C4:C6)</f>
        <v>542.38799999999992</v>
      </c>
      <c r="E7" s="54"/>
    </row>
    <row r="8" spans="1:11">
      <c r="A8" s="26" t="s">
        <v>11</v>
      </c>
      <c r="B8" s="25" t="s">
        <v>12</v>
      </c>
      <c r="C8" s="39"/>
      <c r="E8" s="54"/>
    </row>
    <row r="9" spans="1:11">
      <c r="A9" s="23" t="s">
        <v>5</v>
      </c>
      <c r="B9" s="55" t="s">
        <v>288</v>
      </c>
      <c r="C9" s="38">
        <v>32</v>
      </c>
      <c r="E9" s="56"/>
    </row>
    <row r="10" spans="1:11" ht="30">
      <c r="A10" s="23" t="s">
        <v>6</v>
      </c>
      <c r="B10" s="24" t="s">
        <v>25</v>
      </c>
      <c r="C10" s="65">
        <v>2</v>
      </c>
      <c r="D10" s="73"/>
      <c r="E10" s="54"/>
      <c r="I10" s="61"/>
      <c r="J10" s="61"/>
      <c r="K10" s="61"/>
    </row>
    <row r="11" spans="1:11" ht="30">
      <c r="A11" s="23" t="s">
        <v>7</v>
      </c>
      <c r="B11" s="24" t="s">
        <v>250</v>
      </c>
      <c r="C11" s="39">
        <f>16*6.85</f>
        <v>109.6</v>
      </c>
      <c r="E11" s="54"/>
    </row>
    <row r="12" spans="1:11">
      <c r="A12" s="23"/>
      <c r="B12" s="57" t="s">
        <v>10</v>
      </c>
      <c r="C12" s="41">
        <f>SUM(C9:C11)</f>
        <v>143.6</v>
      </c>
      <c r="E12" s="54"/>
    </row>
    <row r="13" spans="1:11">
      <c r="A13" s="42"/>
      <c r="B13" s="25" t="s">
        <v>14</v>
      </c>
      <c r="C13" s="72">
        <f>C7-C12</f>
        <v>398.7879999999999</v>
      </c>
      <c r="E13" s="54"/>
    </row>
    <row r="14" spans="1:11">
      <c r="A14" s="63"/>
      <c r="B14" s="71" t="s">
        <v>15</v>
      </c>
      <c r="C14" s="64">
        <v>320</v>
      </c>
      <c r="E14" s="54"/>
    </row>
    <row r="15" spans="1:11">
      <c r="A15" s="60" t="s">
        <v>19</v>
      </c>
      <c r="B15" s="52" t="s">
        <v>16</v>
      </c>
      <c r="E15" s="54"/>
    </row>
    <row r="16" spans="1:11">
      <c r="B16" s="52" t="s">
        <v>106</v>
      </c>
      <c r="C16" s="61">
        <f>0.2*1.2</f>
        <v>0.24</v>
      </c>
    </row>
    <row r="17" spans="2:3">
      <c r="B17" s="52" t="s">
        <v>17</v>
      </c>
      <c r="C17" s="61">
        <f>0.5</f>
        <v>0.5</v>
      </c>
    </row>
    <row r="18" spans="2:3">
      <c r="B18" s="51" t="s">
        <v>18</v>
      </c>
      <c r="C18" s="62">
        <f>SUM(C16:C17)</f>
        <v>0.74</v>
      </c>
    </row>
    <row r="20" spans="2:3" ht="68.25" customHeight="1">
      <c r="B20" s="441" t="s">
        <v>516</v>
      </c>
      <c r="C20" s="442"/>
    </row>
  </sheetData>
  <mergeCells count="2">
    <mergeCell ref="A1:C1"/>
    <mergeCell ref="B20:C20"/>
  </mergeCells>
  <pageMargins left="0.98425196850393704" right="0.98425196850393704" top="0.98425196850393704" bottom="0.98425196850393704" header="0.51181102362204722" footer="0.51181102362204722"/>
  <pageSetup paperSize="9" scale="82" fitToHeight="0" orientation="landscape" r:id="rId1"/>
</worksheet>
</file>

<file path=xl/worksheets/sheet6.xml><?xml version="1.0" encoding="utf-8"?>
<worksheet xmlns="http://schemas.openxmlformats.org/spreadsheetml/2006/main" xmlns:r="http://schemas.openxmlformats.org/officeDocument/2006/relationships">
  <sheetPr codeName="Sheet6">
    <tabColor rgb="FF92D050"/>
    <pageSetUpPr fitToPage="1"/>
  </sheetPr>
  <dimension ref="A1:D22"/>
  <sheetViews>
    <sheetView workbookViewId="0">
      <selection activeCell="I9" sqref="I9"/>
    </sheetView>
  </sheetViews>
  <sheetFormatPr defaultColWidth="9.140625" defaultRowHeight="15"/>
  <cols>
    <col min="1" max="1" width="9.140625" style="1"/>
    <col min="2" max="2" width="49.7109375" style="1" customWidth="1"/>
    <col min="3" max="3" width="21.140625" style="1" bestFit="1" customWidth="1"/>
    <col min="4" max="16384" width="9.140625" style="1"/>
  </cols>
  <sheetData>
    <row r="1" spans="1:4">
      <c r="A1" s="2" t="s">
        <v>26</v>
      </c>
    </row>
    <row r="2" spans="1:4">
      <c r="A2" s="29"/>
    </row>
    <row r="3" spans="1:4">
      <c r="A3" s="6" t="s">
        <v>1</v>
      </c>
      <c r="B3" s="5" t="s">
        <v>2</v>
      </c>
      <c r="C3" s="5"/>
    </row>
    <row r="4" spans="1:4" ht="30">
      <c r="A4" s="6" t="s">
        <v>3</v>
      </c>
      <c r="B4" s="7" t="s">
        <v>27</v>
      </c>
      <c r="C4" s="6" t="s">
        <v>31</v>
      </c>
    </row>
    <row r="5" spans="1:4">
      <c r="A5" s="4"/>
      <c r="B5" s="4" t="s">
        <v>28</v>
      </c>
      <c r="C5" s="9" t="s">
        <v>29</v>
      </c>
    </row>
    <row r="6" spans="1:4">
      <c r="A6" s="4"/>
      <c r="B6" s="4" t="s">
        <v>30</v>
      </c>
      <c r="C6" s="9" t="s">
        <v>39</v>
      </c>
    </row>
    <row r="7" spans="1:4">
      <c r="A7" s="4"/>
      <c r="B7" s="4" t="s">
        <v>32</v>
      </c>
      <c r="C7" s="9" t="s">
        <v>40</v>
      </c>
    </row>
    <row r="8" spans="1:4">
      <c r="A8" s="4"/>
      <c r="B8" s="5" t="s">
        <v>33</v>
      </c>
      <c r="C8" s="10">
        <f>500+830</f>
        <v>1330</v>
      </c>
    </row>
    <row r="9" spans="1:4">
      <c r="A9" s="6" t="s">
        <v>36</v>
      </c>
      <c r="B9" s="5" t="s">
        <v>12</v>
      </c>
      <c r="C9" s="9"/>
    </row>
    <row r="10" spans="1:4">
      <c r="A10" s="4"/>
      <c r="B10" s="4" t="s">
        <v>34</v>
      </c>
      <c r="C10" s="11">
        <v>145</v>
      </c>
    </row>
    <row r="11" spans="1:4">
      <c r="A11" s="4"/>
      <c r="B11" s="4" t="s">
        <v>35</v>
      </c>
      <c r="C11" s="11">
        <v>105</v>
      </c>
    </row>
    <row r="12" spans="1:4">
      <c r="A12" s="5"/>
      <c r="B12" s="5" t="s">
        <v>37</v>
      </c>
      <c r="C12" s="31">
        <f>SUM(C10:C11)</f>
        <v>250</v>
      </c>
    </row>
    <row r="13" spans="1:4">
      <c r="A13" s="4"/>
      <c r="B13" s="5" t="s">
        <v>38</v>
      </c>
      <c r="C13" s="27" t="s">
        <v>113</v>
      </c>
      <c r="D13" s="28"/>
    </row>
    <row r="14" spans="1:4">
      <c r="A14" s="4"/>
      <c r="B14" s="5" t="s">
        <v>15</v>
      </c>
      <c r="C14" s="12" t="s">
        <v>41</v>
      </c>
    </row>
    <row r="16" spans="1:4">
      <c r="A16" s="2" t="s">
        <v>42</v>
      </c>
    </row>
    <row r="18" spans="1:3" ht="30">
      <c r="A18" s="4"/>
      <c r="B18" s="7" t="s">
        <v>43</v>
      </c>
      <c r="C18" s="6" t="s">
        <v>9</v>
      </c>
    </row>
    <row r="19" spans="1:3">
      <c r="A19" s="4"/>
      <c r="B19" s="4" t="s">
        <v>44</v>
      </c>
      <c r="C19" s="66">
        <v>106</v>
      </c>
    </row>
    <row r="20" spans="1:3">
      <c r="A20" s="4"/>
      <c r="B20" s="4" t="s">
        <v>45</v>
      </c>
      <c r="C20" s="66">
        <v>58</v>
      </c>
    </row>
    <row r="21" spans="1:3">
      <c r="A21" s="4"/>
      <c r="B21" s="5" t="s">
        <v>155</v>
      </c>
      <c r="C21" s="66">
        <f>SUM(C19:C20)</f>
        <v>164</v>
      </c>
    </row>
    <row r="22" spans="1:3">
      <c r="A22" s="4"/>
      <c r="B22" s="5" t="s">
        <v>15</v>
      </c>
      <c r="C22" s="5">
        <v>80</v>
      </c>
    </row>
  </sheetData>
  <pageMargins left="0.7" right="0.7" top="0.75" bottom="0.75" header="0.3" footer="0.3"/>
  <pageSetup paperSize="9" scale="98" orientation="portrait" horizontalDpi="4294967292" r:id="rId1"/>
</worksheet>
</file>

<file path=xl/worksheets/sheet7.xml><?xml version="1.0" encoding="utf-8"?>
<worksheet xmlns="http://schemas.openxmlformats.org/spreadsheetml/2006/main" xmlns:r="http://schemas.openxmlformats.org/officeDocument/2006/relationships">
  <sheetPr codeName="Sheet7">
    <tabColor rgb="FF92D050"/>
    <pageSetUpPr fitToPage="1"/>
  </sheetPr>
  <dimension ref="A1:E27"/>
  <sheetViews>
    <sheetView workbookViewId="0">
      <selection activeCell="J17" sqref="J17"/>
    </sheetView>
  </sheetViews>
  <sheetFormatPr defaultColWidth="9.140625" defaultRowHeight="15"/>
  <cols>
    <col min="1" max="1" width="5.42578125" style="1" customWidth="1"/>
    <col min="2" max="2" width="45.85546875" style="1" customWidth="1"/>
    <col min="3" max="3" width="21.7109375" style="1" customWidth="1"/>
    <col min="4" max="16384" width="9.140625" style="1"/>
  </cols>
  <sheetData>
    <row r="1" spans="1:4">
      <c r="A1" s="2" t="s">
        <v>46</v>
      </c>
    </row>
    <row r="3" spans="1:4" ht="44.25" customHeight="1">
      <c r="A3" s="317" t="s">
        <v>47</v>
      </c>
      <c r="B3" s="317"/>
      <c r="C3" s="317"/>
    </row>
    <row r="5" spans="1:4">
      <c r="A5" s="6" t="s">
        <v>48</v>
      </c>
      <c r="B5" s="5" t="s">
        <v>49</v>
      </c>
      <c r="C5" s="5" t="s">
        <v>359</v>
      </c>
    </row>
    <row r="6" spans="1:4" ht="17.25">
      <c r="A6" s="13" t="s">
        <v>50</v>
      </c>
      <c r="B6" s="13" t="s">
        <v>51</v>
      </c>
      <c r="C6" s="14">
        <v>6320</v>
      </c>
      <c r="D6" s="2" t="s">
        <v>19</v>
      </c>
    </row>
    <row r="7" spans="1:4" ht="17.25">
      <c r="A7" s="13" t="s">
        <v>52</v>
      </c>
      <c r="B7" s="67" t="s">
        <v>53</v>
      </c>
      <c r="C7" s="14">
        <v>2350</v>
      </c>
    </row>
    <row r="8" spans="1:4">
      <c r="A8" s="13" t="s">
        <v>54</v>
      </c>
      <c r="B8" s="4"/>
      <c r="C8" s="14">
        <f>SUM(C6:C7)</f>
        <v>8670</v>
      </c>
    </row>
    <row r="9" spans="1:4">
      <c r="A9" s="13" t="s">
        <v>55</v>
      </c>
      <c r="B9" s="4"/>
      <c r="C9" s="16">
        <f>(C8/2)*3</f>
        <v>13005</v>
      </c>
      <c r="D9" s="2" t="s">
        <v>56</v>
      </c>
    </row>
    <row r="10" spans="1:4" ht="27.75" customHeight="1">
      <c r="A10" s="18" t="s">
        <v>19</v>
      </c>
      <c r="B10" s="320" t="s">
        <v>57</v>
      </c>
      <c r="C10" s="320"/>
    </row>
    <row r="11" spans="1:4">
      <c r="A11" s="18" t="s">
        <v>56</v>
      </c>
      <c r="B11" s="18" t="s">
        <v>58</v>
      </c>
      <c r="C11" s="17"/>
    </row>
    <row r="12" spans="1:4" ht="6.75" customHeight="1"/>
    <row r="13" spans="1:4" ht="47.25" customHeight="1">
      <c r="A13" s="317" t="s">
        <v>59</v>
      </c>
      <c r="B13" s="317"/>
      <c r="C13" s="317"/>
    </row>
    <row r="15" spans="1:4">
      <c r="A15" s="6" t="s">
        <v>48</v>
      </c>
      <c r="B15" s="5" t="s">
        <v>49</v>
      </c>
      <c r="C15" s="5" t="s">
        <v>359</v>
      </c>
    </row>
    <row r="16" spans="1:4" ht="17.25">
      <c r="A16" s="13" t="s">
        <v>50</v>
      </c>
      <c r="B16" s="13" t="s">
        <v>51</v>
      </c>
      <c r="C16" s="14">
        <v>6320</v>
      </c>
      <c r="D16" s="2" t="s">
        <v>19</v>
      </c>
    </row>
    <row r="17" spans="1:5" ht="17.25">
      <c r="A17" s="13" t="s">
        <v>52</v>
      </c>
      <c r="B17" s="67" t="s">
        <v>53</v>
      </c>
      <c r="C17" s="14">
        <v>2350</v>
      </c>
    </row>
    <row r="18" spans="1:5" ht="17.25">
      <c r="A18" s="13" t="s">
        <v>60</v>
      </c>
      <c r="B18" s="13" t="s">
        <v>61</v>
      </c>
      <c r="C18" s="14">
        <v>-304</v>
      </c>
      <c r="D18" s="2" t="s">
        <v>56</v>
      </c>
    </row>
    <row r="19" spans="1:5">
      <c r="A19" s="13" t="s">
        <v>62</v>
      </c>
      <c r="B19" s="4"/>
      <c r="C19" s="14">
        <f>SUM(C16:C18)</f>
        <v>8366</v>
      </c>
      <c r="D19" s="15"/>
      <c r="E19" s="15"/>
    </row>
    <row r="20" spans="1:5" ht="33.75" customHeight="1">
      <c r="A20" s="17" t="s">
        <v>19</v>
      </c>
      <c r="B20" s="320" t="s">
        <v>57</v>
      </c>
      <c r="C20" s="320"/>
    </row>
    <row r="21" spans="1:5">
      <c r="A21" s="17" t="s">
        <v>56</v>
      </c>
      <c r="B21" s="1" t="s">
        <v>63</v>
      </c>
    </row>
    <row r="23" spans="1:5" ht="59.25" customHeight="1">
      <c r="A23" s="318" t="s">
        <v>64</v>
      </c>
      <c r="B23" s="318"/>
      <c r="C23" s="318"/>
    </row>
    <row r="24" spans="1:5">
      <c r="A24" s="2" t="s">
        <v>114</v>
      </c>
    </row>
    <row r="25" spans="1:5">
      <c r="A25" s="2" t="s">
        <v>115</v>
      </c>
    </row>
    <row r="26" spans="1:5">
      <c r="A26" s="2"/>
    </row>
    <row r="27" spans="1:5" ht="45.75" customHeight="1">
      <c r="A27" s="319" t="s">
        <v>252</v>
      </c>
      <c r="B27" s="319"/>
      <c r="C27" s="319"/>
      <c r="D27" s="104"/>
    </row>
  </sheetData>
  <mergeCells count="6">
    <mergeCell ref="A3:C3"/>
    <mergeCell ref="A13:C13"/>
    <mergeCell ref="A23:C23"/>
    <mergeCell ref="A27:C27"/>
    <mergeCell ref="B10:C10"/>
    <mergeCell ref="B20:C20"/>
  </mergeCell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sheetPr codeName="Sheet8">
    <tabColor rgb="FF92D050"/>
    <pageSetUpPr fitToPage="1"/>
  </sheetPr>
  <dimension ref="A1:D19"/>
  <sheetViews>
    <sheetView workbookViewId="0">
      <selection activeCell="H23" sqref="H23"/>
    </sheetView>
  </sheetViews>
  <sheetFormatPr defaultColWidth="9.140625" defaultRowHeight="15"/>
  <cols>
    <col min="1" max="1" width="9.140625" style="1"/>
    <col min="2" max="2" width="49.7109375" style="1" customWidth="1"/>
    <col min="3" max="3" width="25" style="1" bestFit="1" customWidth="1"/>
    <col min="4" max="16384" width="9.140625" style="1"/>
  </cols>
  <sheetData>
    <row r="1" spans="1:4">
      <c r="A1" s="2" t="s">
        <v>168</v>
      </c>
    </row>
    <row r="2" spans="1:4">
      <c r="A2" s="29"/>
    </row>
    <row r="3" spans="1:4">
      <c r="A3" s="70"/>
      <c r="B3" s="5" t="s">
        <v>169</v>
      </c>
      <c r="C3" s="5"/>
    </row>
    <row r="4" spans="1:4">
      <c r="A4" s="70"/>
      <c r="B4" s="7" t="s">
        <v>170</v>
      </c>
      <c r="C4" s="70" t="s">
        <v>171</v>
      </c>
    </row>
    <row r="5" spans="1:4">
      <c r="A5" s="74" t="s">
        <v>107</v>
      </c>
      <c r="B5" s="8" t="s">
        <v>61</v>
      </c>
      <c r="C5" s="75">
        <v>76</v>
      </c>
    </row>
    <row r="6" spans="1:4">
      <c r="A6" s="74" t="s">
        <v>276</v>
      </c>
      <c r="B6" s="8" t="s">
        <v>172</v>
      </c>
      <c r="C6" s="75">
        <v>-328</v>
      </c>
    </row>
    <row r="7" spans="1:4">
      <c r="A7" s="74" t="s">
        <v>277</v>
      </c>
      <c r="B7" s="8" t="s">
        <v>65</v>
      </c>
      <c r="C7" s="75">
        <v>221</v>
      </c>
    </row>
    <row r="8" spans="1:4">
      <c r="A8" s="74" t="s">
        <v>278</v>
      </c>
      <c r="B8" s="8" t="s">
        <v>282</v>
      </c>
      <c r="C8" s="75">
        <v>-31</v>
      </c>
    </row>
    <row r="9" spans="1:4">
      <c r="A9" s="19" t="s">
        <v>279</v>
      </c>
      <c r="B9" s="8" t="s">
        <v>283</v>
      </c>
      <c r="C9" s="75">
        <v>663</v>
      </c>
    </row>
    <row r="10" spans="1:4">
      <c r="A10" s="74"/>
      <c r="B10" s="8" t="s">
        <v>284</v>
      </c>
      <c r="C10" s="75">
        <v>-694</v>
      </c>
    </row>
    <row r="11" spans="1:4">
      <c r="A11" s="74" t="s">
        <v>280</v>
      </c>
      <c r="B11" s="8" t="s">
        <v>274</v>
      </c>
      <c r="C11" s="75">
        <v>-231.33</v>
      </c>
    </row>
    <row r="12" spans="1:4">
      <c r="A12" s="74" t="s">
        <v>281</v>
      </c>
      <c r="B12" s="8" t="s">
        <v>275</v>
      </c>
      <c r="C12" s="75">
        <v>-54</v>
      </c>
    </row>
    <row r="13" spans="1:4">
      <c r="A13" s="74"/>
      <c r="B13" s="5" t="s">
        <v>285</v>
      </c>
      <c r="C13" s="76">
        <v>-285.33000000000004</v>
      </c>
      <c r="D13" s="28"/>
    </row>
    <row r="14" spans="1:4">
      <c r="A14" s="4"/>
      <c r="B14" s="5"/>
      <c r="C14" s="12"/>
    </row>
    <row r="15" spans="1:4" ht="60" customHeight="1">
      <c r="A15" s="321" t="s">
        <v>173</v>
      </c>
      <c r="B15" s="321"/>
      <c r="C15" s="321"/>
    </row>
    <row r="16" spans="1:4">
      <c r="A16" s="2"/>
    </row>
    <row r="17" spans="1:4" ht="28.5" customHeight="1">
      <c r="A17" s="322" t="s">
        <v>291</v>
      </c>
      <c r="B17" s="322"/>
      <c r="C17" s="322"/>
    </row>
    <row r="19" spans="1:4" ht="46.5" customHeight="1">
      <c r="A19" s="322" t="s">
        <v>252</v>
      </c>
      <c r="B19" s="322"/>
      <c r="C19" s="322"/>
      <c r="D19" s="104"/>
    </row>
  </sheetData>
  <mergeCells count="3">
    <mergeCell ref="A15:C15"/>
    <mergeCell ref="A17:C17"/>
    <mergeCell ref="A19:C19"/>
  </mergeCell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sheetPr codeName="Sheet9">
    <tabColor rgb="FF92D050"/>
  </sheetPr>
  <dimension ref="A1:B18"/>
  <sheetViews>
    <sheetView workbookViewId="0">
      <selection activeCell="I8" sqref="I8"/>
    </sheetView>
  </sheetViews>
  <sheetFormatPr defaultColWidth="9.140625" defaultRowHeight="15"/>
  <cols>
    <col min="1" max="1" width="40.85546875" style="1" bestFit="1" customWidth="1"/>
    <col min="2" max="2" width="22.140625" style="1" customWidth="1"/>
    <col min="3" max="16384" width="9.140625" style="1"/>
  </cols>
  <sheetData>
    <row r="1" spans="1:2" ht="36.75" customHeight="1">
      <c r="A1" s="324" t="s">
        <v>292</v>
      </c>
      <c r="B1" s="324"/>
    </row>
    <row r="3" spans="1:2" ht="30">
      <c r="A3" s="77" t="s">
        <v>158</v>
      </c>
      <c r="B3" s="77" t="s">
        <v>159</v>
      </c>
    </row>
    <row r="4" spans="1:2">
      <c r="A4" s="78" t="s">
        <v>160</v>
      </c>
      <c r="B4" s="84">
        <v>-269</v>
      </c>
    </row>
    <row r="5" spans="1:2">
      <c r="A5" s="78" t="s">
        <v>160</v>
      </c>
      <c r="B5" s="84">
        <v>-269</v>
      </c>
    </row>
    <row r="6" spans="1:2">
      <c r="A6" s="78" t="s">
        <v>65</v>
      </c>
      <c r="B6" s="84">
        <v>221</v>
      </c>
    </row>
    <row r="7" spans="1:2">
      <c r="A7" s="82" t="s">
        <v>161</v>
      </c>
      <c r="B7" s="85">
        <f>SUM(B4:B6)</f>
        <v>-317</v>
      </c>
    </row>
    <row r="8" spans="1:2">
      <c r="A8" s="79" t="s">
        <v>162</v>
      </c>
      <c r="B8" s="86"/>
    </row>
    <row r="9" spans="1:2">
      <c r="A9" s="78" t="s">
        <v>66</v>
      </c>
      <c r="B9" s="84">
        <v>663</v>
      </c>
    </row>
    <row r="10" spans="1:2">
      <c r="A10" s="80"/>
      <c r="B10" s="86"/>
    </row>
    <row r="11" spans="1:2">
      <c r="A11" s="79" t="s">
        <v>163</v>
      </c>
      <c r="B11" s="84">
        <f>B7-B9</f>
        <v>-980</v>
      </c>
    </row>
    <row r="12" spans="1:2">
      <c r="A12" s="80"/>
      <c r="B12" s="86"/>
    </row>
    <row r="13" spans="1:2">
      <c r="A13" s="79" t="s">
        <v>164</v>
      </c>
      <c r="B13" s="83">
        <f>B11/3</f>
        <v>-326.66666666666669</v>
      </c>
    </row>
    <row r="14" spans="1:2">
      <c r="A14" s="80"/>
      <c r="B14" s="86"/>
    </row>
    <row r="15" spans="1:2">
      <c r="A15" s="81" t="s">
        <v>68</v>
      </c>
      <c r="B15" s="87">
        <v>300</v>
      </c>
    </row>
    <row r="18" spans="1:2" ht="59.25" customHeight="1">
      <c r="A18" s="323" t="s">
        <v>252</v>
      </c>
      <c r="B18" s="323"/>
    </row>
  </sheetData>
  <mergeCells count="2">
    <mergeCell ref="A18:B18"/>
    <mergeCell ref="A1:B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vt:i4>
      </vt:variant>
    </vt:vector>
  </HeadingPairs>
  <TitlesOfParts>
    <vt:vector size="27" baseType="lpstr">
      <vt:lpstr>Catalog</vt:lpstr>
      <vt:lpstr>10.1.1Α</vt:lpstr>
      <vt:lpstr>10.1.1Β</vt:lpstr>
      <vt:lpstr>10.1.1Γ</vt:lpstr>
      <vt:lpstr>10.1.1Δ</vt:lpstr>
      <vt:lpstr>10.1.1E</vt:lpstr>
      <vt:lpstr>10.1.2Α</vt:lpstr>
      <vt:lpstr>10.1.2Β.1</vt:lpstr>
      <vt:lpstr>10.1.2Β.2</vt:lpstr>
      <vt:lpstr>10.1.3A</vt:lpstr>
      <vt:lpstr>10.1.3B</vt:lpstr>
      <vt:lpstr>10.1.4</vt:lpstr>
      <vt:lpstr>10.1.5</vt:lpstr>
      <vt:lpstr>10.1.6</vt:lpstr>
      <vt:lpstr>10.1.7</vt:lpstr>
      <vt:lpstr>10.1.8</vt:lpstr>
      <vt:lpstr>10.1.9</vt:lpstr>
      <vt:lpstr>10.1.10</vt:lpstr>
      <vt:lpstr>10.1.11</vt:lpstr>
      <vt:lpstr>10.1.12</vt:lpstr>
      <vt:lpstr>10.1.13</vt:lpstr>
      <vt:lpstr>11.1</vt:lpstr>
      <vt:lpstr>11.2</vt:lpstr>
      <vt:lpstr>12.1.1</vt:lpstr>
      <vt:lpstr>12.1.2</vt:lpstr>
      <vt:lpstr>_11.2</vt:lpstr>
      <vt:lpstr>'10.1.11'!Print_Area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Christos Zoumides</dc:creator>
  <cp:lastModifiedBy>John</cp:lastModifiedBy>
  <cp:lastPrinted>2018-01-15T14:15:54Z</cp:lastPrinted>
  <dcterms:created xsi:type="dcterms:W3CDTF">2015-03-23T14:23:33Z</dcterms:created>
  <dcterms:modified xsi:type="dcterms:W3CDTF">2018-01-25T10:22:37Z</dcterms:modified>
</cp:coreProperties>
</file>